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" sheetId="1" state="visible" r:id="rId2"/>
    <sheet name="data" sheetId="2" state="visible" r:id="rId3"/>
    <sheet name="internal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<sst xmlns="http://schemas.openxmlformats.org/spreadsheetml/2006/main" count="162" uniqueCount="135">
  <si>
    <t xml:space="preserve">калькулятор расчета Рубикон. (с) Сигма 2011-2020.</t>
  </si>
  <si>
    <t xml:space="preserve">калькулятор предназначен для выбора режимов работы ППК или КА2 РУБИКОН</t>
  </si>
  <si>
    <t xml:space="preserve">и расчета допустимой длины шлейфа для различных типов кабелей</t>
  </si>
  <si>
    <t xml:space="preserve">в синих клетках выбрать значение, в зеленых ввести руками</t>
  </si>
  <si>
    <t xml:space="preserve">в красных будет результат</t>
  </si>
  <si>
    <t xml:space="preserve">состояние</t>
  </si>
  <si>
    <t xml:space="preserve">норма</t>
  </si>
  <si>
    <t xml:space="preserve">режим V</t>
  </si>
  <si>
    <t xml:space="preserve">режим I</t>
  </si>
  <si>
    <t xml:space="preserve">ответ</t>
  </si>
  <si>
    <t xml:space="preserve">по напряжению</t>
  </si>
  <si>
    <t xml:space="preserve">кабель</t>
  </si>
  <si>
    <t xml:space="preserve">КПСнг(А)-FRLS 1x2x0,2</t>
  </si>
  <si>
    <t xml:space="preserve">напряжение питания</t>
  </si>
  <si>
    <t xml:space="preserve">устройство</t>
  </si>
  <si>
    <t xml:space="preserve">КА2</t>
  </si>
  <si>
    <t xml:space="preserve">длина прямая</t>
  </si>
  <si>
    <t xml:space="preserve">м</t>
  </si>
  <si>
    <t xml:space="preserve">длина с ответвлениями</t>
  </si>
  <si>
    <t xml:space="preserve">ток потребления на этот шлейф</t>
  </si>
  <si>
    <t xml:space="preserve">ма</t>
  </si>
  <si>
    <t xml:space="preserve">(плюс к базовому току прибора)</t>
  </si>
  <si>
    <t xml:space="preserve">базовый ток прибора</t>
  </si>
  <si>
    <t xml:space="preserve">(не забывайте про ток потребления оповещателей!)</t>
  </si>
  <si>
    <t xml:space="preserve">предупреждения</t>
  </si>
  <si>
    <t xml:space="preserve">V</t>
  </si>
  <si>
    <t xml:space="preserve">тревога</t>
  </si>
  <si>
    <t xml:space="preserve">12в</t>
  </si>
  <si>
    <t xml:space="preserve">24в</t>
  </si>
  <si>
    <t xml:space="preserve">I</t>
  </si>
  <si>
    <t xml:space="preserve">питание</t>
  </si>
  <si>
    <t xml:space="preserve">ППКМ</t>
  </si>
  <si>
    <t xml:space="preserve">ППКЕ</t>
  </si>
  <si>
    <t xml:space="preserve">по току</t>
  </si>
  <si>
    <t xml:space="preserve">дивайс</t>
  </si>
  <si>
    <t xml:space="preserve">R, ом/км</t>
  </si>
  <si>
    <t xml:space="preserve">C, нф/км</t>
  </si>
  <si>
    <t xml:space="preserve">справочные данные</t>
  </si>
  <si>
    <t xml:space="preserve">не перемещать по строкам !!!!</t>
  </si>
  <si>
    <t xml:space="preserve">ток д</t>
  </si>
  <si>
    <t xml:space="preserve">ток т</t>
  </si>
  <si>
    <t xml:space="preserve">КПСнг(А)-FRLS 1x2x0,35</t>
  </si>
  <si>
    <t xml:space="preserve">А3ДПИ</t>
  </si>
  <si>
    <t xml:space="preserve">*</t>
  </si>
  <si>
    <t xml:space="preserve">КПСнг(А)-FRLS 1x2x0,5</t>
  </si>
  <si>
    <t xml:space="preserve">А3ДПИ до 2020</t>
  </si>
  <si>
    <t xml:space="preserve">КПСнг(А)-FRLS 1x2x0,75</t>
  </si>
  <si>
    <t xml:space="preserve">А2ДПИ</t>
  </si>
  <si>
    <t xml:space="preserve">КПСнг(А)-FRLS 1x2x1,0</t>
  </si>
  <si>
    <t xml:space="preserve">АВИ</t>
  </si>
  <si>
    <t xml:space="preserve">КПСнг(А)-FRLS 1x2x1,5</t>
  </si>
  <si>
    <t xml:space="preserve">АМК</t>
  </si>
  <si>
    <t xml:space="preserve">КПСнг(А)-FRLS 1x2x2,5</t>
  </si>
  <si>
    <t xml:space="preserve">АОПИ</t>
  </si>
  <si>
    <t xml:space="preserve">КШСнг(A)-FRLS 1x2x0,52</t>
  </si>
  <si>
    <t xml:space="preserve">АР1</t>
  </si>
  <si>
    <t xml:space="preserve">КШСнг(A)-FRLS 1x2x0,60</t>
  </si>
  <si>
    <t xml:space="preserve">АР5</t>
  </si>
  <si>
    <t xml:space="preserve">КПСЭнг(А)-FRLS 1x2x0,2</t>
  </si>
  <si>
    <t xml:space="preserve">АР5 (ш3 активен)</t>
  </si>
  <si>
    <t xml:space="preserve">КПСЭнг(А)-FRLS 1x2x0,35</t>
  </si>
  <si>
    <t xml:space="preserve">АР-мини</t>
  </si>
  <si>
    <t xml:space="preserve">КПСЭнг(А)-FRLS 1x2x0,5</t>
  </si>
  <si>
    <t xml:space="preserve">АТИ</t>
  </si>
  <si>
    <t xml:space="preserve">КПСЭнг(А)-FRLS 1x2x0,75</t>
  </si>
  <si>
    <t xml:space="preserve">ИР-п (ИР-о, ИР-пуск)</t>
  </si>
  <si>
    <t xml:space="preserve">КПСЭнг(А)-FRLS 1x2x1,0</t>
  </si>
  <si>
    <t xml:space="preserve">ИРС</t>
  </si>
  <si>
    <t xml:space="preserve">КПСЭнг(А)-FRLS 1x2x1,5</t>
  </si>
  <si>
    <t xml:space="preserve">ИСМ-22, в т.ч. Исп.1 и исп.2</t>
  </si>
  <si>
    <t xml:space="preserve">КПСЭнг(А)-FRLS 1x2x2,5</t>
  </si>
  <si>
    <t xml:space="preserve">ИСМ-220</t>
  </si>
  <si>
    <t xml:space="preserve">КШСЭнг(A)-FRLS 1x2x0,52</t>
  </si>
  <si>
    <t xml:space="preserve">ИСМ-220 исп.4</t>
  </si>
  <si>
    <t xml:space="preserve">КШСЭнг(A)-FRLS 1x2x0,60</t>
  </si>
  <si>
    <t xml:space="preserve">ИСМ-5</t>
  </si>
  <si>
    <t xml:space="preserve">КСРПнг-FRHF 2х0,50</t>
  </si>
  <si>
    <t xml:space="preserve">МКЗ</t>
  </si>
  <si>
    <t xml:space="preserve">КСРЭПнг-FRHF 2х0,50</t>
  </si>
  <si>
    <t xml:space="preserve">МПТ</t>
  </si>
  <si>
    <t xml:space="preserve">КСРПнг-FRHF 2х0,64</t>
  </si>
  <si>
    <t xml:space="preserve">ОСЗ</t>
  </si>
  <si>
    <t xml:space="preserve">КСРЭПнг-FRHF 2х0,64</t>
  </si>
  <si>
    <t xml:space="preserve">ОСЗ-08</t>
  </si>
  <si>
    <t xml:space="preserve">КСРПнг-FRHF 2х0,8</t>
  </si>
  <si>
    <t xml:space="preserve">КСРЭПнг-FRHF 2х0,8</t>
  </si>
  <si>
    <t xml:space="preserve">КСРПнг-FRHF 1x2х0,97</t>
  </si>
  <si>
    <t xml:space="preserve">пароль</t>
  </si>
  <si>
    <t xml:space="preserve">alex</t>
  </si>
  <si>
    <t xml:space="preserve">КСРЭПнг-FRHF 1x2х0,97</t>
  </si>
  <si>
    <t xml:space="preserve">КСРПнг-FRHF 1x2х1,13</t>
  </si>
  <si>
    <t xml:space="preserve">КСРЭПнг-FRHF 1x2х1,13</t>
  </si>
  <si>
    <t xml:space="preserve">КСРПнг-FRHF 1x2х1,38</t>
  </si>
  <si>
    <t xml:space="preserve">КСРЭПнг-FRHF 1x2х1,38</t>
  </si>
  <si>
    <t xml:space="preserve">КСРПнг-FRHF 1x2х1,78</t>
  </si>
  <si>
    <t xml:space="preserve">КСРЭПнг-FRHF 1x2х1,78</t>
  </si>
  <si>
    <t xml:space="preserve">FireKab FRHF 1x2xD0,5 (0.22мм2)</t>
  </si>
  <si>
    <t xml:space="preserve">FireKab FRHF 1x2xD0,8 (0.5мм2)</t>
  </si>
  <si>
    <t xml:space="preserve">FireKab FRHF 1x2xD1,0  (0.75мм2)</t>
  </si>
  <si>
    <t xml:space="preserve">FireKab FRHF 1x2xD1,2 (1мм2)</t>
  </si>
  <si>
    <t xml:space="preserve">FireKab FRHF 1x2xD1,5 (1,5мм2)</t>
  </si>
  <si>
    <t xml:space="preserve">устройства</t>
  </si>
  <si>
    <t xml:space="preserve">a3dpi old</t>
  </si>
  <si>
    <t xml:space="preserve">a2, a3, ism</t>
  </si>
  <si>
    <t xml:space="preserve">ток</t>
  </si>
  <si>
    <t xml:space="preserve">min</t>
  </si>
  <si>
    <t xml:space="preserve">max</t>
  </si>
  <si>
    <t xml:space="preserve">любой</t>
  </si>
  <si>
    <t xml:space="preserve">r max</t>
  </si>
  <si>
    <t xml:space="preserve">20/40,U</t>
  </si>
  <si>
    <t xml:space="preserve">40/40,U</t>
  </si>
  <si>
    <t xml:space="preserve">20/100,U</t>
  </si>
  <si>
    <t xml:space="preserve">40/100,U</t>
  </si>
  <si>
    <t xml:space="preserve">20/40,I</t>
  </si>
  <si>
    <t xml:space="preserve">40/40,I</t>
  </si>
  <si>
    <t xml:space="preserve">20/100,I</t>
  </si>
  <si>
    <t xml:space="preserve">40/100,I</t>
  </si>
  <si>
    <t xml:space="preserve">c max</t>
  </si>
  <si>
    <t xml:space="preserve">rc max</t>
  </si>
  <si>
    <t xml:space="preserve">I calculated</t>
  </si>
  <si>
    <t xml:space="preserve">ohm</t>
  </si>
  <si>
    <t xml:space="preserve">nF</t>
  </si>
  <si>
    <t xml:space="preserve">kohm*nf</t>
  </si>
  <si>
    <t xml:space="preserve">max по R</t>
  </si>
  <si>
    <t xml:space="preserve">max по C</t>
  </si>
  <si>
    <t xml:space="preserve">max по RC</t>
  </si>
  <si>
    <t xml:space="preserve">U</t>
  </si>
  <si>
    <t xml:space="preserve">R прямая</t>
  </si>
  <si>
    <t xml:space="preserve">a3dpi old present</t>
  </si>
  <si>
    <t xml:space="preserve">a3, a2, ism present</t>
  </si>
  <si>
    <t xml:space="preserve">answer by I</t>
  </si>
  <si>
    <t xml:space="preserve">погонная емкость</t>
  </si>
  <si>
    <t xml:space="preserve">погонное сопротивление ОДНОЙ жилы</t>
  </si>
  <si>
    <t xml:space="preserve">ответ по току</t>
  </si>
  <si>
    <t xml:space="preserve">ток потребления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</si>
</sst>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"/>
    <numFmt numFmtId="167" formatCode="General"/>
    <numFmt numFmtId="168" formatCode="0.00"/>
    <numFmt numFmtId="169" formatCode="0.0"/>
    <numFmt numFmtId="170" formatCode="0%"/>
    <numFmt numFmtId="171" formatCode="0.00%"/>
  </numFmts>
  <fonts count="12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0"/>
      <name val="Arial Cyr"/>
      <family val="0"/>
      <charset val="204"/>
    </font>
    <font>
      <sz val="12"/>
      <name val="Arial Cyr"/>
      <family val="0"/>
      <charset val="204"/>
    </font>
    <font>
      <b val="true"/>
      <sz val="10"/>
      <name val="Arial"/>
      <family val="2"/>
      <charset val="204"/>
    </font>
    <font>
      <b val="true"/>
      <sz val="10"/>
      <color rgb="FFFFFF00"/>
      <name val="Arial"/>
      <family val="2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sz val="10"/>
      <color rgb="FFD9D9D9"/>
      <name val="Arial"/>
      <family val="2"/>
      <charset val="1"/>
    </font>
    <font>
      <sz val="10"/>
      <color rgb="FFFFFFFF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B7DEE8"/>
        <bgColor rgb="FFD9D9D9"/>
      </patternFill>
    </fill>
    <fill>
      <patternFill patternType="solid">
        <fgColor rgb="FFDCE6F2"/>
        <bgColor rgb="FFE6E0EC"/>
      </patternFill>
    </fill>
    <fill>
      <patternFill patternType="solid">
        <fgColor rgb="FF558ED5"/>
        <bgColor rgb="FF808080"/>
      </patternFill>
    </fill>
    <fill>
      <patternFill patternType="solid">
        <fgColor rgb="FF00B050"/>
        <bgColor rgb="FF00A65D"/>
      </patternFill>
    </fill>
    <fill>
      <patternFill patternType="solid">
        <fgColor rgb="FFFF0000"/>
        <bgColor rgb="FF993300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D9D9D9"/>
      </patternFill>
    </fill>
    <fill>
      <patternFill patternType="solid">
        <fgColor rgb="FFFCD5B5"/>
        <bgColor rgb="FFFEDCC6"/>
      </patternFill>
    </fill>
    <fill>
      <patternFill patternType="solid">
        <fgColor rgb="FFCC99FF"/>
        <bgColor rgb="FF9999FF"/>
      </patternFill>
    </fill>
    <fill>
      <patternFill patternType="solid">
        <fgColor rgb="FFFFFFFF"/>
        <bgColor rgb="FFDCE6F2"/>
      </patternFill>
    </fill>
    <fill>
      <patternFill patternType="solid">
        <fgColor rgb="FF00A65D"/>
        <bgColor rgb="FF00B050"/>
      </patternFill>
    </fill>
    <fill>
      <patternFill patternType="solid">
        <fgColor rgb="FF0066B3"/>
        <bgColor rgb="FF008080"/>
      </patternFill>
    </fill>
    <fill>
      <patternFill patternType="solid">
        <fgColor rgb="FFA3238E"/>
        <bgColor rgb="FF993366"/>
      </patternFill>
    </fill>
    <fill>
      <patternFill patternType="solid">
        <fgColor rgb="FFFEDCC6"/>
        <bgColor rgb="FFFCD5B5"/>
      </patternFill>
    </fill>
    <fill>
      <patternFill patternType="solid">
        <fgColor rgb="FFE6E0EC"/>
        <bgColor rgb="FFDCE6F2"/>
      </patternFill>
    </fill>
    <fill>
      <patternFill patternType="solid">
        <fgColor rgb="FFFFF200"/>
        <bgColor rgb="FFFFFF00"/>
      </patternFill>
    </fill>
    <fill>
      <patternFill patternType="solid">
        <fgColor rgb="FFE3D200"/>
        <bgColor rgb="FFFFF2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4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5" fontId="0" fillId="5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6" fontId="7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9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1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1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CC1DA"/>
      <rgbColor rgb="FF808080"/>
      <rgbColor rgb="FF9999FF"/>
      <rgbColor rgb="FFA3238E"/>
      <rgbColor rgb="FFFEDCC6"/>
      <rgbColor rgb="FFDCE6F2"/>
      <rgbColor rgb="FF660066"/>
      <rgbColor rgb="FFFF8080"/>
      <rgbColor rgb="FF0066B3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E6E0EC"/>
      <rgbColor rgb="FFD7E4BD"/>
      <rgbColor rgb="FFFFFF99"/>
      <rgbColor rgb="FFB7DEE8"/>
      <rgbColor rgb="FFFF99CC"/>
      <rgbColor rgb="FFCC99FF"/>
      <rgbColor rgb="FFFCD5B5"/>
      <rgbColor rgb="FF3366FF"/>
      <rgbColor rgb="FF33CCCC"/>
      <rgbColor rgb="FF99CC00"/>
      <rgbColor rgb="FFE3D200"/>
      <rgbColor rgb="FFFF9900"/>
      <rgbColor rgb="FFFF6600"/>
      <rgbColor rgb="FF558ED5"/>
      <rgbColor rgb="FF969696"/>
      <rgbColor rgb="FF003366"/>
      <rgbColor rgb="FF00A65D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7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B12" activeCellId="0" sqref="B12"/>
    </sheetView>
  </sheetViews>
  <sheetFormatPr defaultRowHeight="12.75" zeroHeight="false" outlineLevelRow="0" outlineLevelCol="0"/>
  <cols>
    <col collapsed="false" customWidth="true" hidden="false" outlineLevel="0" max="1" min="1" style="0" width="34.86"/>
    <col collapsed="false" customWidth="true" hidden="false" outlineLevel="0" max="2" min="2" style="0" width="24"/>
    <col collapsed="false" customWidth="true" hidden="false" outlineLevel="0" max="1025" min="3" style="0" width="8.67"/>
  </cols>
  <sheetData>
    <row r="1" customFormat="false" ht="26.2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 t="s">
        <v>1</v>
      </c>
      <c r="B2" s="2"/>
      <c r="C2" s="2"/>
      <c r="D2" s="2"/>
      <c r="E2" s="2"/>
      <c r="F2" s="2"/>
      <c r="G2" s="2"/>
    </row>
    <row r="3" customFormat="false" ht="15" hidden="false" customHeight="false" outlineLevel="0" collapsed="false">
      <c r="A3" s="3" t="s">
        <v>2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4"/>
    </row>
    <row r="5" customFormat="false" ht="12.75" hidden="false" customHeight="false" outlineLevel="0" collapsed="false">
      <c r="B5" s="5" t="s">
        <v>3</v>
      </c>
    </row>
    <row r="6" customFormat="false" ht="12.75" hidden="false" customHeight="false" outlineLevel="0" collapsed="false">
      <c r="B6" s="5" t="s">
        <v>4</v>
      </c>
    </row>
    <row r="8" customFormat="false" ht="12.75" hidden="false" customHeight="false" outlineLevel="0" collapsed="false">
      <c r="A8" s="6" t="s">
        <v>5</v>
      </c>
      <c r="B8" s="7" t="s">
        <v>6</v>
      </c>
    </row>
    <row r="9" customFormat="false" ht="12.75" hidden="false" customHeight="false" outlineLevel="0" collapsed="false">
      <c r="A9" s="6" t="s">
        <v>7</v>
      </c>
      <c r="B9" s="8" t="n">
        <v>40</v>
      </c>
    </row>
    <row r="10" customFormat="false" ht="12.75" hidden="false" customHeight="false" outlineLevel="0" collapsed="false">
      <c r="A10" s="6" t="s">
        <v>8</v>
      </c>
      <c r="B10" s="8" t="n">
        <v>100</v>
      </c>
    </row>
    <row r="11" customFormat="false" ht="12.75" hidden="false" customHeight="false" outlineLevel="0" collapsed="false">
      <c r="A11" s="6" t="s">
        <v>9</v>
      </c>
      <c r="B11" s="9" t="s">
        <v>10</v>
      </c>
    </row>
    <row r="12" customFormat="false" ht="12.75" hidden="false" customHeight="false" outlineLevel="0" collapsed="false">
      <c r="A12" s="6" t="s">
        <v>11</v>
      </c>
      <c r="B12" s="9" t="s">
        <v>12</v>
      </c>
    </row>
    <row r="13" customFormat="false" ht="12.75" hidden="false" customHeight="false" outlineLevel="0" collapsed="false">
      <c r="A13" s="6" t="s">
        <v>13</v>
      </c>
      <c r="B13" s="8" t="n">
        <v>24</v>
      </c>
    </row>
    <row r="14" customFormat="false" ht="12.75" hidden="false" customHeight="false" outlineLevel="0" collapsed="false">
      <c r="A14" s="6" t="s">
        <v>14</v>
      </c>
      <c r="B14" s="9" t="s">
        <v>15</v>
      </c>
    </row>
    <row r="15" customFormat="false" ht="12.75" hidden="false" customHeight="false" outlineLevel="0" collapsed="false">
      <c r="A15" s="6"/>
      <c r="B15" s="10"/>
    </row>
    <row r="16" customFormat="false" ht="12.75" hidden="false" customHeight="false" outlineLevel="0" collapsed="false">
      <c r="A16" s="6" t="str">
        <f aca="false">data!G13</f>
        <v>А3ДПИ</v>
      </c>
      <c r="B16" s="11" t="n">
        <v>220</v>
      </c>
    </row>
    <row r="17" customFormat="false" ht="12.75" hidden="false" customHeight="false" outlineLevel="0" collapsed="false">
      <c r="A17" s="6" t="str">
        <f aca="false">data!G14</f>
        <v>А3ДПИ до 2020</v>
      </c>
      <c r="B17" s="11" t="n">
        <v>0</v>
      </c>
    </row>
    <row r="18" customFormat="false" ht="12.75" hidden="false" customHeight="false" outlineLevel="0" collapsed="false">
      <c r="A18" s="6" t="str">
        <f aca="false">data!G15</f>
        <v>А2ДПИ</v>
      </c>
      <c r="B18" s="11" t="n">
        <v>0</v>
      </c>
    </row>
    <row r="19" customFormat="false" ht="12.75" hidden="false" customHeight="false" outlineLevel="0" collapsed="false">
      <c r="A19" s="6" t="str">
        <f aca="false">data!G16</f>
        <v>АВИ</v>
      </c>
      <c r="B19" s="11"/>
    </row>
    <row r="20" customFormat="false" ht="12.75" hidden="false" customHeight="false" outlineLevel="0" collapsed="false">
      <c r="A20" s="6" t="str">
        <f aca="false">data!G17</f>
        <v>АМК</v>
      </c>
      <c r="B20" s="11" t="n">
        <v>0</v>
      </c>
    </row>
    <row r="21" customFormat="false" ht="12.75" hidden="false" customHeight="false" outlineLevel="0" collapsed="false">
      <c r="A21" s="6" t="str">
        <f aca="false">data!G18</f>
        <v>АОПИ</v>
      </c>
      <c r="B21" s="11"/>
    </row>
    <row r="22" customFormat="false" ht="12.75" hidden="false" customHeight="false" outlineLevel="0" collapsed="false">
      <c r="A22" s="6" t="str">
        <f aca="false">data!G19</f>
        <v>АР1</v>
      </c>
      <c r="B22" s="11"/>
    </row>
    <row r="23" customFormat="false" ht="12.75" hidden="false" customHeight="false" outlineLevel="0" collapsed="false">
      <c r="A23" s="6" t="str">
        <f aca="false">data!G20</f>
        <v>АР5</v>
      </c>
      <c r="B23" s="11"/>
    </row>
    <row r="24" customFormat="false" ht="12.75" hidden="false" customHeight="false" outlineLevel="0" collapsed="false">
      <c r="A24" s="6" t="str">
        <f aca="false">data!G21</f>
        <v>АР5 (ш3 активен)</v>
      </c>
      <c r="B24" s="11"/>
    </row>
    <row r="25" customFormat="false" ht="12.75" hidden="false" customHeight="false" outlineLevel="0" collapsed="false">
      <c r="A25" s="6" t="str">
        <f aca="false">data!G22</f>
        <v>АР-мини</v>
      </c>
      <c r="B25" s="11" t="n">
        <v>0</v>
      </c>
    </row>
    <row r="26" customFormat="false" ht="12.75" hidden="false" customHeight="false" outlineLevel="0" collapsed="false">
      <c r="A26" s="6" t="str">
        <f aca="false">data!G23</f>
        <v>АТИ</v>
      </c>
      <c r="B26" s="11"/>
    </row>
    <row r="27" customFormat="false" ht="12.75" hidden="false" customHeight="false" outlineLevel="0" collapsed="false">
      <c r="A27" s="6" t="str">
        <f aca="false">data!G24</f>
        <v>ИР-п (ИР-о, ИР-пуск)</v>
      </c>
      <c r="B27" s="11" t="n">
        <v>35</v>
      </c>
    </row>
    <row r="28" customFormat="false" ht="12.75" hidden="false" customHeight="false" outlineLevel="0" collapsed="false">
      <c r="A28" s="6" t="str">
        <f aca="false">data!G25</f>
        <v>ИРС</v>
      </c>
      <c r="B28" s="11" t="n">
        <v>0</v>
      </c>
    </row>
    <row r="29" customFormat="false" ht="12.75" hidden="false" customHeight="false" outlineLevel="0" collapsed="false">
      <c r="A29" s="6" t="str">
        <f aca="false">data!G26</f>
        <v>ИСМ-22, в т.ч. Исп.1 и исп.2</v>
      </c>
      <c r="B29" s="11" t="n">
        <v>0</v>
      </c>
    </row>
    <row r="30" customFormat="false" ht="12.75" hidden="false" customHeight="false" outlineLevel="0" collapsed="false">
      <c r="A30" s="6" t="str">
        <f aca="false">data!G27</f>
        <v>ИСМ-220</v>
      </c>
      <c r="B30" s="11"/>
    </row>
    <row r="31" customFormat="false" ht="12.75" hidden="false" customHeight="false" outlineLevel="0" collapsed="false">
      <c r="A31" s="6" t="str">
        <f aca="false">data!G28</f>
        <v>ИСМ-220 исп.4</v>
      </c>
      <c r="B31" s="11"/>
    </row>
    <row r="32" customFormat="false" ht="12.75" hidden="false" customHeight="false" outlineLevel="0" collapsed="false">
      <c r="A32" s="6" t="str">
        <f aca="false">data!G29</f>
        <v>ИСМ-5</v>
      </c>
      <c r="B32" s="11"/>
    </row>
    <row r="33" customFormat="false" ht="12.75" hidden="false" customHeight="false" outlineLevel="0" collapsed="false">
      <c r="A33" s="6" t="str">
        <f aca="false">data!G30</f>
        <v>МКЗ</v>
      </c>
      <c r="B33" s="11"/>
    </row>
    <row r="34" customFormat="false" ht="12.75" hidden="false" customHeight="false" outlineLevel="0" collapsed="false">
      <c r="A34" s="6" t="str">
        <f aca="false">data!G31</f>
        <v>МПТ</v>
      </c>
      <c r="B34" s="11" t="n">
        <v>0</v>
      </c>
    </row>
    <row r="35" customFormat="false" ht="12.75" hidden="false" customHeight="false" outlineLevel="0" collapsed="false">
      <c r="A35" s="6" t="str">
        <f aca="false">data!G32</f>
        <v>ОСЗ</v>
      </c>
      <c r="B35" s="11" t="n">
        <v>0</v>
      </c>
    </row>
    <row r="36" customFormat="false" ht="12.75" hidden="false" customHeight="false" outlineLevel="0" collapsed="false">
      <c r="A36" s="6" t="str">
        <f aca="false">data!G33</f>
        <v>ОСЗ-08</v>
      </c>
      <c r="B36" s="11"/>
    </row>
    <row r="37" customFormat="false" ht="12.75" hidden="false" customHeight="false" outlineLevel="0" collapsed="false">
      <c r="A37" s="5"/>
    </row>
    <row r="38" customFormat="false" ht="12.75" hidden="false" customHeight="false" outlineLevel="0" collapsed="false">
      <c r="A38" s="6" t="s">
        <v>16</v>
      </c>
      <c r="B38" s="12" t="n">
        <f aca="false">internal!M55</f>
        <v>1041.66666666667</v>
      </c>
      <c r="C38" s="0" t="s">
        <v>17</v>
      </c>
    </row>
    <row r="39" customFormat="false" ht="12.75" hidden="false" customHeight="false" outlineLevel="0" collapsed="false">
      <c r="A39" s="6" t="s">
        <v>18</v>
      </c>
      <c r="B39" s="12" t="n">
        <f aca="false">internal!O55</f>
        <v>3787.87878787879</v>
      </c>
      <c r="C39" s="0" t="s">
        <v>17</v>
      </c>
    </row>
    <row r="40" customFormat="false" ht="12.75" hidden="false" customHeight="false" outlineLevel="0" collapsed="false">
      <c r="A40" s="5"/>
    </row>
    <row r="41" customFormat="false" ht="12.75" hidden="false" customHeight="false" outlineLevel="0" collapsed="false">
      <c r="A41" s="6" t="s">
        <v>19</v>
      </c>
      <c r="B41" s="12" t="n">
        <f aca="false">internal!A54</f>
        <v>98.5</v>
      </c>
      <c r="C41" s="0" t="s">
        <v>20</v>
      </c>
      <c r="D41" s="0" t="s">
        <v>21</v>
      </c>
    </row>
    <row r="42" customFormat="false" ht="12.75" hidden="false" customHeight="false" outlineLevel="0" collapsed="false">
      <c r="A42" s="6" t="s">
        <v>22</v>
      </c>
      <c r="B42" s="13" t="n">
        <f aca="false">VLOOKUP(B14,data!L3:N5,IF(B13=12,2,3))</f>
        <v>60</v>
      </c>
      <c r="C42" s="0" t="s">
        <v>20</v>
      </c>
      <c r="D42" s="0" t="s">
        <v>23</v>
      </c>
    </row>
    <row r="43" customFormat="false" ht="12.75" hidden="false" customHeight="false" outlineLevel="0" collapsed="false">
      <c r="A43" s="6"/>
    </row>
    <row r="44" customFormat="false" ht="12.75" hidden="false" customHeight="false" outlineLevel="0" collapsed="false">
      <c r="A44" s="6" t="s">
        <v>24</v>
      </c>
      <c r="B44" s="12" t="str">
        <f aca="false">IF(internal!A36&gt;0.8*calc!B10,"суммарный ток устройств в шлейфе превышает возможности выбранного режима","")</f>
        <v/>
      </c>
      <c r="C44" s="12"/>
      <c r="D44" s="12"/>
      <c r="E44" s="12"/>
      <c r="F44" s="12"/>
      <c r="G44" s="12"/>
      <c r="H44" s="12"/>
      <c r="I44" s="12"/>
      <c r="J44" s="12"/>
    </row>
    <row r="45" customFormat="false" ht="12.75" hidden="false" customHeight="false" outlineLevel="0" collapsed="false">
      <c r="A45" s="14"/>
      <c r="B45" s="12" t="str">
        <f aca="false">IF(SUM(B16:B36)&gt;255,"суммарное количество устройств в шлейфе превышает возможности аппаратуры","")</f>
        <v/>
      </c>
      <c r="C45" s="12"/>
      <c r="D45" s="12"/>
      <c r="E45" s="12"/>
      <c r="F45" s="12"/>
      <c r="G45" s="12"/>
      <c r="H45" s="12"/>
      <c r="I45" s="12"/>
      <c r="J45" s="12"/>
    </row>
    <row r="46" customFormat="false" ht="12.75" hidden="false" customHeight="false" outlineLevel="0" collapsed="false">
      <c r="A46" s="14"/>
      <c r="B46" s="12" t="str">
        <f aca="false">IF(AND(B35+B34&gt;0,OR(B9&lt;&gt;40,B10&lt;&gt;100)),"для работы ОСЗ и МПТ от шлейфа рекомендуется режим 40в/100ма","")</f>
        <v/>
      </c>
      <c r="C46" s="12"/>
      <c r="D46" s="12"/>
      <c r="E46" s="12"/>
      <c r="F46" s="12"/>
      <c r="G46" s="12"/>
      <c r="H46" s="12"/>
      <c r="I46" s="12"/>
      <c r="J46" s="12"/>
    </row>
    <row r="47" customFormat="false" ht="12.75" hidden="false" customHeight="false" outlineLevel="0" collapsed="false">
      <c r="A47" s="14"/>
    </row>
  </sheetData>
  <sheetProtection sheet="true" password="cb95" objects="true" scenarios="true"/>
  <dataValidations count="7">
    <dataValidation allowBlank="false" operator="between" showDropDown="false" showErrorMessage="true" showInputMessage="true" sqref="B9" type="list">
      <formula1>data!$B$1:$B$2</formula1>
      <formula2>0</formula2>
    </dataValidation>
    <dataValidation allowBlank="false" operator="between" showDropDown="false" showErrorMessage="true" showInputMessage="true" sqref="B10" type="list">
      <formula1>data!$B$4:$B$5</formula1>
      <formula2>0</formula2>
    </dataValidation>
    <dataValidation allowBlank="false" operator="between" showDropDown="false" showErrorMessage="true" showInputMessage="true" sqref="B11" type="list">
      <formula1>data!$B$7:$B$8</formula1>
      <formula2>0</formula2>
    </dataValidation>
    <dataValidation allowBlank="false" operator="between" showDropDown="false" showErrorMessage="true" showInputMessage="true" sqref="B12" type="list">
      <formula1>data!$A$12:$A$48</formula1>
      <formula2>0</formula2>
    </dataValidation>
    <dataValidation allowBlank="true" operator="between" showDropDown="false" showErrorMessage="true" showInputMessage="true" sqref="B8" type="list">
      <formula1>data!$E$1:$E$2</formula1>
      <formula2>0</formula2>
    </dataValidation>
    <dataValidation allowBlank="false" operator="between" showDropDown="false" showErrorMessage="true" showInputMessage="true" sqref="B13" type="list">
      <formula1>data!$E$4:$E$5</formula1>
      <formula2>0</formula2>
    </dataValidation>
    <dataValidation allowBlank="false" operator="between" showDropDown="false" showErrorMessage="true" showInputMessage="true" sqref="B14" type="list">
      <formula1>data!$E$7:$E$9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8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L37" activeCellId="0" sqref="L37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6" min="2" style="0" width="8.67"/>
    <col collapsed="false" customWidth="true" hidden="false" outlineLevel="0" max="7" min="7" style="0" width="26"/>
    <col collapsed="false" customWidth="true" hidden="false" outlineLevel="0" max="1025" min="8" style="0" width="8.67"/>
  </cols>
  <sheetData>
    <row r="1" customFormat="false" ht="12.75" hidden="false" customHeight="false" outlineLevel="0" collapsed="false">
      <c r="A1" s="15" t="s">
        <v>25</v>
      </c>
      <c r="B1" s="16" t="n">
        <v>20</v>
      </c>
      <c r="D1" s="2" t="s">
        <v>5</v>
      </c>
      <c r="E1" s="2" t="s">
        <v>6</v>
      </c>
    </row>
    <row r="2" customFormat="false" ht="12.75" hidden="false" customHeight="false" outlineLevel="0" collapsed="false">
      <c r="A2" s="15"/>
      <c r="B2" s="16" t="n">
        <v>40</v>
      </c>
      <c r="D2" s="2"/>
      <c r="E2" s="2" t="s">
        <v>26</v>
      </c>
      <c r="M2" s="0" t="s">
        <v>27</v>
      </c>
      <c r="N2" s="0" t="s">
        <v>28</v>
      </c>
    </row>
    <row r="3" customFormat="false" ht="12.75" hidden="false" customHeight="false" outlineLevel="0" collapsed="false">
      <c r="A3" s="14"/>
      <c r="L3" s="0" t="s">
        <v>15</v>
      </c>
      <c r="M3" s="0" t="n">
        <v>100</v>
      </c>
      <c r="N3" s="0" t="n">
        <v>60</v>
      </c>
    </row>
    <row r="4" customFormat="false" ht="12.75" hidden="false" customHeight="false" outlineLevel="0" collapsed="false">
      <c r="A4" s="17" t="s">
        <v>29</v>
      </c>
      <c r="B4" s="18" t="n">
        <v>40</v>
      </c>
      <c r="D4" s="0" t="s">
        <v>30</v>
      </c>
      <c r="E4" s="0" t="n">
        <v>12</v>
      </c>
      <c r="L4" s="0" t="s">
        <v>31</v>
      </c>
      <c r="M4" s="0" t="n">
        <v>250</v>
      </c>
      <c r="N4" s="0" t="n">
        <v>200</v>
      </c>
    </row>
    <row r="5" customFormat="false" ht="12.75" hidden="false" customHeight="false" outlineLevel="0" collapsed="false">
      <c r="A5" s="17"/>
      <c r="B5" s="18" t="n">
        <v>100</v>
      </c>
      <c r="E5" s="0" t="n">
        <v>24</v>
      </c>
      <c r="L5" s="0" t="s">
        <v>32</v>
      </c>
      <c r="M5" s="0" t="n">
        <v>120</v>
      </c>
      <c r="N5" s="0" t="n">
        <v>70</v>
      </c>
    </row>
    <row r="6" customFormat="false" ht="12.75" hidden="false" customHeight="false" outlineLevel="0" collapsed="false">
      <c r="A6" s="14"/>
    </row>
    <row r="7" customFormat="false" ht="12.75" hidden="false" customHeight="false" outlineLevel="0" collapsed="false">
      <c r="A7" s="19" t="s">
        <v>9</v>
      </c>
      <c r="B7" s="20" t="s">
        <v>33</v>
      </c>
      <c r="D7" s="0" t="s">
        <v>34</v>
      </c>
      <c r="E7" s="0" t="s">
        <v>15</v>
      </c>
    </row>
    <row r="8" customFormat="false" ht="12.75" hidden="false" customHeight="false" outlineLevel="0" collapsed="false">
      <c r="A8" s="20"/>
      <c r="B8" s="20" t="s">
        <v>10</v>
      </c>
      <c r="E8" s="0" t="s">
        <v>31</v>
      </c>
    </row>
    <row r="9" customFormat="false" ht="12.75" hidden="false" customHeight="false" outlineLevel="0" collapsed="false">
      <c r="E9" s="0" t="s">
        <v>32</v>
      </c>
    </row>
    <row r="11" customFormat="false" ht="14.25" hidden="false" customHeight="false" outlineLevel="0" collapsed="false">
      <c r="A11" s="21"/>
      <c r="B11" s="21" t="s">
        <v>35</v>
      </c>
      <c r="C11" s="21" t="s">
        <v>36</v>
      </c>
      <c r="G11" s="22" t="s">
        <v>37</v>
      </c>
      <c r="H11" s="23" t="s">
        <v>38</v>
      </c>
      <c r="I11" s="23"/>
    </row>
    <row r="12" customFormat="false" ht="12.75" hidden="false" customHeight="false" outlineLevel="0" collapsed="false">
      <c r="A12" s="21" t="s">
        <v>12</v>
      </c>
      <c r="B12" s="21" t="n">
        <v>192</v>
      </c>
      <c r="C12" s="21" t="n">
        <v>66</v>
      </c>
      <c r="G12" s="21"/>
      <c r="H12" s="24" t="s">
        <v>39</v>
      </c>
      <c r="I12" s="24" t="s">
        <v>40</v>
      </c>
      <c r="J12" s="21"/>
    </row>
    <row r="13" customFormat="false" ht="12.75" hidden="false" customHeight="false" outlineLevel="0" collapsed="false">
      <c r="A13" s="21" t="s">
        <v>41</v>
      </c>
      <c r="B13" s="21" t="n">
        <v>126</v>
      </c>
      <c r="C13" s="21" t="n">
        <v>70</v>
      </c>
      <c r="G13" s="21" t="s">
        <v>42</v>
      </c>
      <c r="H13" s="25" t="n">
        <v>0.2</v>
      </c>
      <c r="I13" s="26" t="n">
        <v>0</v>
      </c>
      <c r="J13" s="21" t="s">
        <v>43</v>
      </c>
    </row>
    <row r="14" customFormat="false" ht="12.75" hidden="false" customHeight="false" outlineLevel="0" collapsed="false">
      <c r="A14" s="21" t="s">
        <v>44</v>
      </c>
      <c r="B14" s="21" t="n">
        <v>75</v>
      </c>
      <c r="C14" s="21" t="n">
        <v>77</v>
      </c>
      <c r="G14" s="21" t="s">
        <v>45</v>
      </c>
      <c r="H14" s="25" t="n">
        <v>0.2</v>
      </c>
      <c r="I14" s="26" t="n">
        <v>0</v>
      </c>
      <c r="J14" s="21"/>
    </row>
    <row r="15" customFormat="false" ht="12.75" hidden="false" customHeight="false" outlineLevel="0" collapsed="false">
      <c r="A15" s="21" t="s">
        <v>46</v>
      </c>
      <c r="B15" s="21" t="n">
        <v>51</v>
      </c>
      <c r="C15" s="21" t="n">
        <v>80</v>
      </c>
      <c r="G15" s="21" t="s">
        <v>47</v>
      </c>
      <c r="H15" s="25" t="n">
        <v>0.15</v>
      </c>
      <c r="I15" s="26" t="n">
        <v>0</v>
      </c>
      <c r="J15" s="21"/>
    </row>
    <row r="16" customFormat="false" ht="12.75" hidden="false" customHeight="false" outlineLevel="0" collapsed="false">
      <c r="A16" s="21" t="s">
        <v>48</v>
      </c>
      <c r="B16" s="21" t="n">
        <v>38</v>
      </c>
      <c r="C16" s="21" t="n">
        <v>85</v>
      </c>
      <c r="G16" s="21" t="s">
        <v>49</v>
      </c>
      <c r="H16" s="25" t="n">
        <v>2.7</v>
      </c>
      <c r="I16" s="26" t="n">
        <v>0</v>
      </c>
      <c r="J16" s="21"/>
    </row>
    <row r="17" customFormat="false" ht="12.75" hidden="false" customHeight="false" outlineLevel="0" collapsed="false">
      <c r="A17" s="21" t="s">
        <v>50</v>
      </c>
      <c r="B17" s="21" t="n">
        <v>25</v>
      </c>
      <c r="C17" s="21" t="n">
        <v>90</v>
      </c>
      <c r="G17" s="21" t="s">
        <v>51</v>
      </c>
      <c r="H17" s="27" t="n">
        <v>0.19</v>
      </c>
      <c r="I17" s="28" t="n">
        <v>0</v>
      </c>
      <c r="J17" s="21" t="s">
        <v>43</v>
      </c>
    </row>
    <row r="18" customFormat="false" ht="12.75" hidden="false" customHeight="false" outlineLevel="0" collapsed="false">
      <c r="A18" s="21" t="s">
        <v>52</v>
      </c>
      <c r="B18" s="21" t="n">
        <v>16</v>
      </c>
      <c r="C18" s="21" t="n">
        <v>95</v>
      </c>
      <c r="G18" s="21" t="s">
        <v>53</v>
      </c>
      <c r="H18" s="25" t="n">
        <v>0.48</v>
      </c>
      <c r="I18" s="26" t="n">
        <v>0</v>
      </c>
      <c r="J18" s="21"/>
    </row>
    <row r="19" customFormat="false" ht="12.75" hidden="false" customHeight="false" outlineLevel="0" collapsed="false">
      <c r="A19" s="21" t="s">
        <v>54</v>
      </c>
      <c r="B19" s="21" t="n">
        <v>200</v>
      </c>
      <c r="C19" s="21" t="n">
        <v>66</v>
      </c>
      <c r="G19" s="21" t="s">
        <v>55</v>
      </c>
      <c r="H19" s="27" t="n">
        <v>3</v>
      </c>
      <c r="I19" s="28" t="n">
        <v>0</v>
      </c>
      <c r="J19" s="21"/>
    </row>
    <row r="20" customFormat="false" ht="12.75" hidden="false" customHeight="false" outlineLevel="0" collapsed="false">
      <c r="A20" s="21" t="s">
        <v>56</v>
      </c>
      <c r="B20" s="21" t="n">
        <v>150</v>
      </c>
      <c r="C20" s="21" t="n">
        <v>70</v>
      </c>
      <c r="G20" s="21" t="s">
        <v>57</v>
      </c>
      <c r="H20" s="25" t="n">
        <v>0.2</v>
      </c>
      <c r="I20" s="26" t="n">
        <v>0</v>
      </c>
      <c r="J20" s="21"/>
    </row>
    <row r="21" customFormat="false" ht="12.75" hidden="false" customHeight="false" outlineLevel="0" collapsed="false">
      <c r="A21" s="21" t="s">
        <v>58</v>
      </c>
      <c r="B21" s="21" t="n">
        <v>192</v>
      </c>
      <c r="C21" s="21" t="n">
        <v>180</v>
      </c>
      <c r="G21" s="21" t="s">
        <v>59</v>
      </c>
      <c r="H21" s="25" t="n">
        <v>3</v>
      </c>
      <c r="I21" s="26" t="n">
        <v>0</v>
      </c>
      <c r="J21" s="21"/>
    </row>
    <row r="22" customFormat="false" ht="12.75" hidden="false" customHeight="false" outlineLevel="0" collapsed="false">
      <c r="A22" s="21" t="s">
        <v>60</v>
      </c>
      <c r="B22" s="21" t="n">
        <v>126</v>
      </c>
      <c r="C22" s="21" t="n">
        <v>185</v>
      </c>
      <c r="G22" s="21" t="s">
        <v>61</v>
      </c>
      <c r="H22" s="25" t="n">
        <v>0.2</v>
      </c>
      <c r="I22" s="26" t="n">
        <v>0</v>
      </c>
      <c r="J22" s="21"/>
    </row>
    <row r="23" customFormat="false" ht="12.75" hidden="false" customHeight="false" outlineLevel="0" collapsed="false">
      <c r="A23" s="21" t="s">
        <v>62</v>
      </c>
      <c r="B23" s="21" t="n">
        <v>75</v>
      </c>
      <c r="C23" s="21" t="n">
        <v>190</v>
      </c>
      <c r="G23" s="21" t="s">
        <v>63</v>
      </c>
      <c r="H23" s="27" t="n">
        <v>0.15</v>
      </c>
      <c r="I23" s="28" t="n">
        <v>0</v>
      </c>
      <c r="J23" s="21"/>
    </row>
    <row r="24" customFormat="false" ht="12.75" hidden="false" customHeight="false" outlineLevel="0" collapsed="false">
      <c r="A24" s="21" t="s">
        <v>64</v>
      </c>
      <c r="B24" s="21" t="n">
        <v>51</v>
      </c>
      <c r="C24" s="21" t="n">
        <v>195</v>
      </c>
      <c r="G24" s="21" t="s">
        <v>65</v>
      </c>
      <c r="H24" s="25" t="n">
        <v>0.15</v>
      </c>
      <c r="I24" s="26" t="n">
        <v>0</v>
      </c>
      <c r="J24" s="21"/>
    </row>
    <row r="25" customFormat="false" ht="12.75" hidden="false" customHeight="false" outlineLevel="0" collapsed="false">
      <c r="A25" s="21" t="s">
        <v>66</v>
      </c>
      <c r="B25" s="21" t="n">
        <v>38</v>
      </c>
      <c r="C25" s="21" t="n">
        <v>200</v>
      </c>
      <c r="G25" s="21" t="s">
        <v>67</v>
      </c>
      <c r="H25" s="25" t="n">
        <v>1</v>
      </c>
      <c r="I25" s="26" t="n">
        <v>0</v>
      </c>
      <c r="J25" s="21"/>
    </row>
    <row r="26" customFormat="false" ht="12.75" hidden="false" customHeight="false" outlineLevel="0" collapsed="false">
      <c r="A26" s="21" t="s">
        <v>68</v>
      </c>
      <c r="B26" s="21" t="n">
        <v>25</v>
      </c>
      <c r="C26" s="21" t="n">
        <v>205</v>
      </c>
      <c r="G26" s="21" t="s">
        <v>69</v>
      </c>
      <c r="H26" s="25" t="n">
        <v>1.2</v>
      </c>
      <c r="I26" s="26" t="n">
        <v>0</v>
      </c>
      <c r="J26" s="21"/>
    </row>
    <row r="27" customFormat="false" ht="12.75" hidden="false" customHeight="false" outlineLevel="0" collapsed="false">
      <c r="A27" s="21" t="s">
        <v>70</v>
      </c>
      <c r="B27" s="21" t="n">
        <v>16</v>
      </c>
      <c r="C27" s="21" t="n">
        <v>210</v>
      </c>
      <c r="G27" s="21" t="s">
        <v>71</v>
      </c>
      <c r="H27" s="27" t="n">
        <v>0.2</v>
      </c>
      <c r="I27" s="28" t="n">
        <v>0</v>
      </c>
      <c r="J27" s="21"/>
    </row>
    <row r="28" customFormat="false" ht="12.75" hidden="false" customHeight="false" outlineLevel="0" collapsed="false">
      <c r="A28" s="21" t="s">
        <v>72</v>
      </c>
      <c r="B28" s="21" t="n">
        <v>200</v>
      </c>
      <c r="C28" s="21" t="n">
        <v>185</v>
      </c>
      <c r="G28" s="21" t="s">
        <v>73</v>
      </c>
      <c r="H28" s="25" t="n">
        <v>1.2</v>
      </c>
      <c r="I28" s="26" t="n">
        <v>0</v>
      </c>
      <c r="J28" s="21"/>
    </row>
    <row r="29" customFormat="false" ht="12.75" hidden="false" customHeight="false" outlineLevel="0" collapsed="false">
      <c r="A29" s="21" t="s">
        <v>74</v>
      </c>
      <c r="B29" s="21" t="n">
        <v>150</v>
      </c>
      <c r="C29" s="21" t="n">
        <v>190</v>
      </c>
      <c r="G29" s="21" t="s">
        <v>75</v>
      </c>
      <c r="H29" s="25" t="n">
        <v>1</v>
      </c>
      <c r="I29" s="26" t="n">
        <v>0</v>
      </c>
      <c r="J29" s="21"/>
    </row>
    <row r="30" customFormat="false" ht="12.75" hidden="false" customHeight="false" outlineLevel="0" collapsed="false">
      <c r="A30" s="21" t="s">
        <v>76</v>
      </c>
      <c r="B30" s="21" t="n">
        <f aca="false">2*95</f>
        <v>190</v>
      </c>
      <c r="C30" s="21" t="n">
        <v>75</v>
      </c>
      <c r="G30" s="21" t="s">
        <v>77</v>
      </c>
      <c r="H30" s="25" t="n">
        <v>0.2</v>
      </c>
      <c r="I30" s="26" t="n">
        <v>0</v>
      </c>
      <c r="J30" s="21"/>
    </row>
    <row r="31" customFormat="false" ht="12.75" hidden="false" customHeight="false" outlineLevel="0" collapsed="false">
      <c r="A31" s="21" t="s">
        <v>78</v>
      </c>
      <c r="B31" s="21" t="n">
        <f aca="false">2*95</f>
        <v>190</v>
      </c>
      <c r="C31" s="21" t="n">
        <v>185</v>
      </c>
      <c r="G31" s="21" t="s">
        <v>79</v>
      </c>
      <c r="H31" s="25" t="n">
        <v>0.5</v>
      </c>
      <c r="I31" s="26" t="n">
        <v>30</v>
      </c>
      <c r="J31" s="21"/>
    </row>
    <row r="32" customFormat="false" ht="12.75" hidden="false" customHeight="false" outlineLevel="0" collapsed="false">
      <c r="A32" s="21" t="s">
        <v>80</v>
      </c>
      <c r="B32" s="21" t="n">
        <f aca="false">2*58</f>
        <v>116</v>
      </c>
      <c r="C32" s="21" t="n">
        <v>75</v>
      </c>
      <c r="G32" s="21" t="s">
        <v>81</v>
      </c>
      <c r="H32" s="25" t="n">
        <v>0.2</v>
      </c>
      <c r="I32" s="26" t="n">
        <v>10</v>
      </c>
      <c r="J32" s="21" t="s">
        <v>43</v>
      </c>
    </row>
    <row r="33" customFormat="false" ht="12.75" hidden="false" customHeight="false" outlineLevel="0" collapsed="false">
      <c r="A33" s="21" t="s">
        <v>82</v>
      </c>
      <c r="B33" s="21" t="n">
        <f aca="false">2*58</f>
        <v>116</v>
      </c>
      <c r="C33" s="21" t="n">
        <v>185</v>
      </c>
      <c r="G33" s="21" t="s">
        <v>83</v>
      </c>
      <c r="H33" s="25" t="n">
        <v>0.3</v>
      </c>
      <c r="I33" s="26" t="n">
        <v>0</v>
      </c>
      <c r="J33" s="21"/>
    </row>
    <row r="34" customFormat="false" ht="12.75" hidden="false" customHeight="false" outlineLevel="0" collapsed="false">
      <c r="A34" s="21" t="s">
        <v>84</v>
      </c>
      <c r="B34" s="21" t="n">
        <f aca="false">2*36</f>
        <v>72</v>
      </c>
      <c r="C34" s="21" t="n">
        <v>75</v>
      </c>
    </row>
    <row r="35" customFormat="false" ht="12.75" hidden="false" customHeight="false" outlineLevel="0" collapsed="false">
      <c r="A35" s="21" t="s">
        <v>85</v>
      </c>
      <c r="B35" s="21" t="n">
        <f aca="false">2*36</f>
        <v>72</v>
      </c>
      <c r="C35" s="21" t="n">
        <v>185</v>
      </c>
      <c r="G35" s="29"/>
    </row>
    <row r="36" customFormat="false" ht="12.75" hidden="false" customHeight="false" outlineLevel="0" collapsed="false">
      <c r="A36" s="21" t="s">
        <v>86</v>
      </c>
      <c r="B36" s="21" t="n">
        <f aca="false">2*24.5</f>
        <v>49</v>
      </c>
      <c r="C36" s="21" t="n">
        <v>75</v>
      </c>
      <c r="G36" s="30" t="s">
        <v>87</v>
      </c>
      <c r="H36" s="31" t="s">
        <v>88</v>
      </c>
    </row>
    <row r="37" customFormat="false" ht="12.75" hidden="false" customHeight="false" outlineLevel="0" collapsed="false">
      <c r="A37" s="21" t="s">
        <v>89</v>
      </c>
      <c r="B37" s="21" t="n">
        <f aca="false">2*24.5</f>
        <v>49</v>
      </c>
      <c r="C37" s="21" t="n">
        <v>185</v>
      </c>
      <c r="G37" s="29"/>
    </row>
    <row r="38" customFormat="false" ht="12.75" hidden="false" customHeight="false" outlineLevel="0" collapsed="false">
      <c r="A38" s="21" t="s">
        <v>90</v>
      </c>
      <c r="B38" s="21" t="n">
        <f aca="false">2*18.1</f>
        <v>36.2</v>
      </c>
      <c r="C38" s="21" t="n">
        <v>75</v>
      </c>
    </row>
    <row r="39" customFormat="false" ht="12.75" hidden="false" customHeight="false" outlineLevel="0" collapsed="false">
      <c r="A39" s="21" t="s">
        <v>91</v>
      </c>
      <c r="B39" s="21" t="n">
        <f aca="false">2*18.1</f>
        <v>36.2</v>
      </c>
      <c r="C39" s="21" t="n">
        <v>185</v>
      </c>
    </row>
    <row r="40" customFormat="false" ht="12.75" hidden="false" customHeight="false" outlineLevel="0" collapsed="false">
      <c r="A40" s="21" t="s">
        <v>92</v>
      </c>
      <c r="B40" s="21" t="n">
        <f aca="false">2*12.1</f>
        <v>24.2</v>
      </c>
      <c r="C40" s="21" t="n">
        <v>75</v>
      </c>
    </row>
    <row r="41" customFormat="false" ht="12.75" hidden="false" customHeight="false" outlineLevel="0" collapsed="false">
      <c r="A41" s="21" t="s">
        <v>93</v>
      </c>
      <c r="B41" s="21" t="n">
        <f aca="false">2*12.1</f>
        <v>24.2</v>
      </c>
      <c r="C41" s="21" t="n">
        <v>185</v>
      </c>
    </row>
    <row r="42" customFormat="false" ht="12.75" hidden="false" customHeight="false" outlineLevel="0" collapsed="false">
      <c r="A42" s="21" t="s">
        <v>94</v>
      </c>
      <c r="B42" s="21" t="n">
        <f aca="false">2*7.4</f>
        <v>14.8</v>
      </c>
      <c r="C42" s="21" t="n">
        <v>75</v>
      </c>
    </row>
    <row r="43" customFormat="false" ht="12.75" hidden="false" customHeight="false" outlineLevel="0" collapsed="false">
      <c r="A43" s="21" t="s">
        <v>95</v>
      </c>
      <c r="B43" s="21" t="n">
        <f aca="false">2*7.4</f>
        <v>14.8</v>
      </c>
      <c r="C43" s="21" t="n">
        <v>185</v>
      </c>
    </row>
    <row r="44" customFormat="false" ht="12.75" hidden="false" customHeight="false" outlineLevel="0" collapsed="false">
      <c r="A44" s="21" t="s">
        <v>96</v>
      </c>
      <c r="B44" s="21" t="n">
        <v>194</v>
      </c>
      <c r="C44" s="21" t="n">
        <v>56</v>
      </c>
    </row>
    <row r="45" customFormat="false" ht="12.75" hidden="false" customHeight="false" outlineLevel="0" collapsed="false">
      <c r="A45" s="21" t="s">
        <v>97</v>
      </c>
      <c r="B45" s="21" t="n">
        <v>78</v>
      </c>
      <c r="C45" s="21" t="n">
        <v>60</v>
      </c>
    </row>
    <row r="46" customFormat="false" ht="12.75" hidden="false" customHeight="false" outlineLevel="0" collapsed="false">
      <c r="A46" s="21" t="s">
        <v>98</v>
      </c>
      <c r="B46" s="21" t="n">
        <v>52</v>
      </c>
      <c r="C46" s="21" t="n">
        <v>65</v>
      </c>
    </row>
    <row r="47" customFormat="false" ht="12.75" hidden="false" customHeight="false" outlineLevel="0" collapsed="false">
      <c r="A47" s="21" t="s">
        <v>99</v>
      </c>
      <c r="B47" s="21" t="n">
        <v>39</v>
      </c>
      <c r="C47" s="21" t="n">
        <v>70</v>
      </c>
    </row>
    <row r="48" customFormat="false" ht="12.75" hidden="false" customHeight="false" outlineLevel="0" collapsed="false">
      <c r="A48" s="21" t="s">
        <v>100</v>
      </c>
      <c r="B48" s="21" t="n">
        <v>27</v>
      </c>
      <c r="C48" s="21" t="n">
        <v>75</v>
      </c>
    </row>
  </sheetData>
  <sheetProtection sheet="true" password="cb95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55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E48" activeCellId="0" sqref="E48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>
    <row r="2" customFormat="false" ht="12.75" hidden="false" customHeight="false" outlineLevel="0" collapsed="false">
      <c r="D2" s="0" t="s">
        <v>101</v>
      </c>
      <c r="F2" s="32"/>
      <c r="G2" s="32"/>
      <c r="H2" s="0" t="s">
        <v>102</v>
      </c>
      <c r="I2" s="0" t="s">
        <v>103</v>
      </c>
    </row>
    <row r="3" customFormat="false" ht="12.75" hidden="false" customHeight="false" outlineLevel="0" collapsed="false">
      <c r="D3" s="0" t="s">
        <v>104</v>
      </c>
      <c r="E3" s="0" t="s">
        <v>105</v>
      </c>
      <c r="F3" s="32" t="n">
        <v>0.5</v>
      </c>
      <c r="G3" s="32" t="s">
        <v>106</v>
      </c>
      <c r="H3" s="0" t="s">
        <v>107</v>
      </c>
      <c r="I3" s="33" t="s">
        <v>105</v>
      </c>
      <c r="J3" s="32" t="n">
        <v>0.5</v>
      </c>
      <c r="K3" s="33" t="s">
        <v>106</v>
      </c>
    </row>
    <row r="4" customFormat="false" ht="12.75" hidden="false" customHeight="false" outlineLevel="0" collapsed="false">
      <c r="E4" s="34" t="s">
        <v>108</v>
      </c>
      <c r="F4" s="34"/>
      <c r="G4" s="34"/>
    </row>
    <row r="5" customFormat="false" ht="12.75" hidden="false" customHeight="false" outlineLevel="0" collapsed="false">
      <c r="D5" s="35" t="s">
        <v>109</v>
      </c>
      <c r="E5" s="34" t="n">
        <v>300</v>
      </c>
      <c r="F5" s="34" t="n">
        <v>300</v>
      </c>
      <c r="G5" s="34" t="n">
        <v>300</v>
      </c>
      <c r="H5" s="36" t="n">
        <v>300</v>
      </c>
      <c r="I5" s="37" t="n">
        <v>300</v>
      </c>
      <c r="J5" s="37" t="n">
        <v>250</v>
      </c>
      <c r="K5" s="37" t="n">
        <v>150</v>
      </c>
      <c r="M5" s="38" t="n">
        <f aca="false">MIN(IF($A$39,$H5,1000),IF($A$42,I5,1000),E5)</f>
        <v>300</v>
      </c>
      <c r="N5" s="38" t="n">
        <f aca="false">MIN(IF($A$39,$H5,1000),IF($A$42,J5,1000),F5)</f>
        <v>250</v>
      </c>
      <c r="O5" s="38" t="n">
        <f aca="false">MIN(IF($A$39,$H5,1000),IF($A$42,K5,1000),G5)</f>
        <v>150</v>
      </c>
    </row>
    <row r="6" customFormat="false" ht="12.75" hidden="false" customHeight="false" outlineLevel="0" collapsed="false">
      <c r="D6" s="35" t="s">
        <v>110</v>
      </c>
      <c r="E6" s="34" t="n">
        <v>300</v>
      </c>
      <c r="F6" s="34" t="n">
        <v>200</v>
      </c>
      <c r="G6" s="34" t="n">
        <v>200</v>
      </c>
      <c r="H6" s="36" t="n">
        <v>200</v>
      </c>
      <c r="I6" s="37" t="n">
        <v>300</v>
      </c>
      <c r="J6" s="37" t="n">
        <v>200</v>
      </c>
      <c r="K6" s="37" t="n">
        <v>200</v>
      </c>
      <c r="M6" s="38" t="n">
        <f aca="false">MIN(IF($A$39,$H6,1000),IF($A$42,I6,1000),E6)</f>
        <v>300</v>
      </c>
      <c r="N6" s="38" t="n">
        <f aca="false">MIN(IF($A$39,$H6,1000),IF($A$42,J6,1000),F6)</f>
        <v>200</v>
      </c>
      <c r="O6" s="38" t="n">
        <f aca="false">MIN(IF($A$39,$H6,1000),IF($A$42,K6,1000),G6)</f>
        <v>200</v>
      </c>
    </row>
    <row r="7" customFormat="false" ht="12.75" hidden="false" customHeight="false" outlineLevel="0" collapsed="false">
      <c r="D7" s="35" t="s">
        <v>111</v>
      </c>
      <c r="E7" s="34" t="n">
        <v>80</v>
      </c>
      <c r="F7" s="34" t="n">
        <v>80</v>
      </c>
      <c r="G7" s="34" t="n">
        <v>80</v>
      </c>
      <c r="H7" s="36" t="n">
        <v>80</v>
      </c>
      <c r="I7" s="37" t="n">
        <v>80</v>
      </c>
      <c r="J7" s="37" t="n">
        <v>80</v>
      </c>
      <c r="K7" s="37" t="n">
        <v>60</v>
      </c>
      <c r="M7" s="38" t="n">
        <f aca="false">MIN(IF($A$39,$H7,1000),IF($A$42,I7,1000),E7)</f>
        <v>80</v>
      </c>
      <c r="N7" s="38" t="n">
        <f aca="false">MIN(IF($A$39,$H7,1000),IF($A$42,J7,1000),F7)</f>
        <v>80</v>
      </c>
      <c r="O7" s="38" t="n">
        <f aca="false">MIN(IF($A$39,$H7,1000),IF($A$42,K7,1000),G7)</f>
        <v>60</v>
      </c>
    </row>
    <row r="8" customFormat="false" ht="12.75" hidden="false" customHeight="false" outlineLevel="0" collapsed="false">
      <c r="D8" s="35" t="s">
        <v>112</v>
      </c>
      <c r="E8" s="34" t="n">
        <v>200</v>
      </c>
      <c r="F8" s="34" t="n">
        <v>200</v>
      </c>
      <c r="G8" s="34" t="n">
        <v>200</v>
      </c>
      <c r="H8" s="36" t="n">
        <v>200</v>
      </c>
      <c r="I8" s="37" t="n">
        <v>200</v>
      </c>
      <c r="J8" s="37" t="n">
        <v>200</v>
      </c>
      <c r="K8" s="37" t="n">
        <v>200</v>
      </c>
      <c r="M8" s="38" t="n">
        <f aca="false">MIN(IF($A$39,$H8,1000),IF($A$42,I8,1000),E8)</f>
        <v>200</v>
      </c>
      <c r="N8" s="38" t="n">
        <f aca="false">MIN(IF($A$39,$H8,1000),IF($A$42,J8,1000),F8)</f>
        <v>200</v>
      </c>
      <c r="O8" s="38" t="n">
        <f aca="false">MIN(IF($A$39,$H8,1000),IF($A$42,K8,1000),G8)</f>
        <v>200</v>
      </c>
    </row>
    <row r="9" customFormat="false" ht="12.75" hidden="false" customHeight="false" outlineLevel="0" collapsed="false">
      <c r="D9" s="39" t="s">
        <v>113</v>
      </c>
      <c r="E9" s="34" t="n">
        <v>500</v>
      </c>
      <c r="F9" s="34" t="n">
        <v>500</v>
      </c>
      <c r="G9" s="34" t="n">
        <v>500</v>
      </c>
      <c r="H9" s="36" t="n">
        <v>300</v>
      </c>
      <c r="I9" s="37" t="n">
        <v>300</v>
      </c>
      <c r="J9" s="37" t="n">
        <v>250</v>
      </c>
      <c r="K9" s="37" t="n">
        <v>150</v>
      </c>
      <c r="M9" s="38" t="n">
        <f aca="false">MIN(IF($A$39,$H9,1000),IF($A$42,I9,1000),E9)</f>
        <v>300</v>
      </c>
      <c r="N9" s="38" t="n">
        <f aca="false">MIN(IF($A$39,$H9,1000),IF($A$42,J9,1000),F9)</f>
        <v>250</v>
      </c>
      <c r="O9" s="38" t="n">
        <f aca="false">MIN(IF($A$39,$H9,1000),IF($A$42,K9,1000),G9)</f>
        <v>150</v>
      </c>
    </row>
    <row r="10" customFormat="false" ht="12.75" hidden="false" customHeight="false" outlineLevel="0" collapsed="false">
      <c r="D10" s="39" t="s">
        <v>114</v>
      </c>
      <c r="E10" s="34" t="n">
        <v>300</v>
      </c>
      <c r="F10" s="34" t="n">
        <v>200</v>
      </c>
      <c r="G10" s="34" t="n">
        <v>200</v>
      </c>
      <c r="H10" s="36" t="n">
        <v>200</v>
      </c>
      <c r="I10" s="37" t="n">
        <v>300</v>
      </c>
      <c r="J10" s="37" t="n">
        <v>200</v>
      </c>
      <c r="K10" s="37" t="n">
        <v>200</v>
      </c>
      <c r="M10" s="38" t="n">
        <f aca="false">MIN(IF($A$39,$H10,1000),IF($A$42,I10,1000),E10)</f>
        <v>300</v>
      </c>
      <c r="N10" s="38" t="n">
        <f aca="false">MIN(IF($A$39,$H10,1000),IF($A$42,J10,1000),F10)</f>
        <v>200</v>
      </c>
      <c r="O10" s="38" t="n">
        <f aca="false">MIN(IF($A$39,$H10,1000),IF($A$42,K10,1000),G10)</f>
        <v>200</v>
      </c>
    </row>
    <row r="11" customFormat="false" ht="12.75" hidden="false" customHeight="false" outlineLevel="0" collapsed="false">
      <c r="D11" s="39" t="s">
        <v>115</v>
      </c>
      <c r="E11" s="34" t="n">
        <v>400</v>
      </c>
      <c r="F11" s="34" t="n">
        <v>400</v>
      </c>
      <c r="G11" s="34" t="n">
        <v>200</v>
      </c>
      <c r="H11" s="36" t="n">
        <v>80</v>
      </c>
      <c r="I11" s="37" t="n">
        <v>80</v>
      </c>
      <c r="J11" s="37" t="n">
        <v>80</v>
      </c>
      <c r="K11" s="37" t="n">
        <v>60</v>
      </c>
      <c r="M11" s="38" t="n">
        <f aca="false">MIN(IF($A$39,$H11,1000),IF($A$42,I11,1000),E11)</f>
        <v>80</v>
      </c>
      <c r="N11" s="38" t="n">
        <f aca="false">MIN(IF($A$39,$H11,1000),IF($A$42,J11,1000),F11)</f>
        <v>80</v>
      </c>
      <c r="O11" s="38" t="n">
        <f aca="false">MIN(IF($A$39,$H11,1000),IF($A$42,K11,1000),G11)</f>
        <v>60</v>
      </c>
    </row>
    <row r="12" customFormat="false" ht="12.75" hidden="false" customHeight="false" outlineLevel="0" collapsed="false">
      <c r="D12" s="39" t="s">
        <v>116</v>
      </c>
      <c r="E12" s="34" t="n">
        <v>500</v>
      </c>
      <c r="F12" s="34" t="n">
        <v>500</v>
      </c>
      <c r="G12" s="34" t="n">
        <v>500</v>
      </c>
      <c r="H12" s="36" t="n">
        <v>200</v>
      </c>
      <c r="I12" s="37" t="n">
        <v>200</v>
      </c>
      <c r="J12" s="37" t="n">
        <v>200</v>
      </c>
      <c r="K12" s="37" t="n">
        <v>200</v>
      </c>
      <c r="M12" s="38" t="n">
        <f aca="false">MIN(IF($A$39,$H12,1000),IF($A$42,I12,1000),E12)</f>
        <v>200</v>
      </c>
      <c r="N12" s="38" t="n">
        <f aca="false">MIN(IF($A$39,$H12,1000),IF($A$42,J12,1000),F12)</f>
        <v>200</v>
      </c>
      <c r="O12" s="38" t="n">
        <f aca="false">MIN(IF($A$39,$H12,1000),IF($A$42,K12,1000),G12)</f>
        <v>200</v>
      </c>
    </row>
    <row r="13" customFormat="false" ht="12.75" hidden="false" customHeight="false" outlineLevel="0" collapsed="false">
      <c r="E13" s="34"/>
      <c r="F13" s="34"/>
      <c r="G13" s="34"/>
      <c r="H13" s="36"/>
    </row>
    <row r="14" customFormat="false" ht="12.75" hidden="false" customHeight="false" outlineLevel="0" collapsed="false">
      <c r="E14" s="34" t="s">
        <v>117</v>
      </c>
      <c r="F14" s="34"/>
      <c r="G14" s="34"/>
      <c r="H14" s="36"/>
    </row>
    <row r="15" customFormat="false" ht="12.75" hidden="false" customHeight="false" outlineLevel="0" collapsed="false">
      <c r="E15" s="34" t="n">
        <v>100</v>
      </c>
      <c r="F15" s="34" t="n">
        <v>100</v>
      </c>
      <c r="G15" s="34" t="n">
        <v>100</v>
      </c>
      <c r="H15" s="36" t="n">
        <v>100</v>
      </c>
      <c r="M15" s="38" t="n">
        <f aca="false">MIN(IF($A$39,$H15,1000),E15)</f>
        <v>100</v>
      </c>
      <c r="N15" s="38" t="n">
        <f aca="false">MIN(IF($A$39,$H15,1000),F15)</f>
        <v>100</v>
      </c>
      <c r="O15" s="38" t="n">
        <f aca="false">MIN(IF($A$39,$H15,1000),G15)</f>
        <v>100</v>
      </c>
    </row>
    <row r="16" customFormat="false" ht="12.75" hidden="false" customHeight="false" outlineLevel="0" collapsed="false">
      <c r="E16" s="34" t="n">
        <v>80</v>
      </c>
      <c r="F16" s="34" t="n">
        <v>60</v>
      </c>
      <c r="G16" s="34" t="n">
        <v>40</v>
      </c>
      <c r="H16" s="36" t="n">
        <v>40</v>
      </c>
      <c r="M16" s="38" t="n">
        <f aca="false">MIN(IF($A$39,$H16,1000),E16)</f>
        <v>80</v>
      </c>
      <c r="N16" s="38" t="n">
        <f aca="false">MIN(IF($A$39,$H16,1000),F16)</f>
        <v>60</v>
      </c>
      <c r="O16" s="38" t="n">
        <f aca="false">MIN(IF($A$39,$H16,1000),G16)</f>
        <v>40</v>
      </c>
    </row>
    <row r="17" customFormat="false" ht="12.75" hidden="false" customHeight="false" outlineLevel="0" collapsed="false">
      <c r="E17" s="34" t="n">
        <v>400</v>
      </c>
      <c r="F17" s="34" t="n">
        <v>400</v>
      </c>
      <c r="G17" s="34" t="n">
        <v>400</v>
      </c>
      <c r="H17" s="36" t="n">
        <v>200</v>
      </c>
      <c r="M17" s="38" t="n">
        <f aca="false">MIN(IF($A$39,$H17,1000),E17)</f>
        <v>400</v>
      </c>
      <c r="N17" s="38" t="n">
        <f aca="false">MIN(IF($A$39,$H17,1000),F17)</f>
        <v>400</v>
      </c>
      <c r="O17" s="38" t="n">
        <f aca="false">MIN(IF($A$39,$H17,1000),G17)</f>
        <v>400</v>
      </c>
    </row>
    <row r="18" customFormat="false" ht="12.75" hidden="false" customHeight="false" outlineLevel="0" collapsed="false">
      <c r="E18" s="34" t="n">
        <v>400</v>
      </c>
      <c r="F18" s="34" t="n">
        <v>400</v>
      </c>
      <c r="G18" s="34" t="n">
        <v>200</v>
      </c>
      <c r="H18" s="36" t="n">
        <v>80</v>
      </c>
      <c r="M18" s="38" t="n">
        <f aca="false">MIN(IF($A$39,$H18,1000),E18)</f>
        <v>400</v>
      </c>
      <c r="N18" s="38" t="n">
        <f aca="false">MIN(IF($A$39,$H18,1000),F18)</f>
        <v>400</v>
      </c>
      <c r="O18" s="38" t="n">
        <f aca="false">MIN(IF($A$39,$H18,1000),G18)</f>
        <v>200</v>
      </c>
    </row>
    <row r="19" customFormat="false" ht="12.75" hidden="false" customHeight="false" outlineLevel="0" collapsed="false">
      <c r="E19" s="34" t="n">
        <v>160</v>
      </c>
      <c r="F19" s="34" t="n">
        <v>130</v>
      </c>
      <c r="G19" s="34" t="n">
        <v>100</v>
      </c>
      <c r="H19" s="36" t="n">
        <v>100</v>
      </c>
      <c r="M19" s="38" t="n">
        <f aca="false">MIN(IF($A$39,$H19,1000),E19)</f>
        <v>160</v>
      </c>
      <c r="N19" s="38" t="n">
        <f aca="false">MIN(IF($A$39,$H19,1000),F19)</f>
        <v>130</v>
      </c>
      <c r="O19" s="38" t="n">
        <f aca="false">MIN(IF($A$39,$H19,1000),G19)</f>
        <v>100</v>
      </c>
    </row>
    <row r="20" customFormat="false" ht="12.75" hidden="false" customHeight="false" outlineLevel="0" collapsed="false">
      <c r="E20" s="34" t="n">
        <v>80</v>
      </c>
      <c r="F20" s="34" t="n">
        <v>60</v>
      </c>
      <c r="G20" s="34" t="n">
        <v>60</v>
      </c>
      <c r="H20" s="36" t="n">
        <v>40</v>
      </c>
      <c r="M20" s="38" t="n">
        <f aca="false">MIN(IF($A$39,$H20,1000),E20)</f>
        <v>80</v>
      </c>
      <c r="N20" s="38" t="n">
        <f aca="false">MIN(IF($A$39,$H20,1000),F20)</f>
        <v>60</v>
      </c>
      <c r="O20" s="38" t="n">
        <f aca="false">MIN(IF($A$39,$H20,1000),G20)</f>
        <v>60</v>
      </c>
    </row>
    <row r="21" customFormat="false" ht="12.75" hidden="false" customHeight="false" outlineLevel="0" collapsed="false">
      <c r="E21" s="34" t="n">
        <v>400</v>
      </c>
      <c r="F21" s="34" t="n">
        <v>400</v>
      </c>
      <c r="G21" s="34" t="n">
        <v>400</v>
      </c>
      <c r="H21" s="36" t="n">
        <v>200</v>
      </c>
      <c r="M21" s="38" t="n">
        <f aca="false">MIN(IF($A$39,$H21,1000),E21)</f>
        <v>400</v>
      </c>
      <c r="N21" s="38" t="n">
        <f aca="false">MIN(IF($A$39,$H21,1000),F21)</f>
        <v>400</v>
      </c>
      <c r="O21" s="38" t="n">
        <f aca="false">MIN(IF($A$39,$H21,1000),G21)</f>
        <v>400</v>
      </c>
    </row>
    <row r="22" customFormat="false" ht="12.75" hidden="false" customHeight="false" outlineLevel="0" collapsed="false">
      <c r="E22" s="34" t="n">
        <v>400</v>
      </c>
      <c r="F22" s="34" t="n">
        <v>400</v>
      </c>
      <c r="G22" s="34" t="n">
        <v>200</v>
      </c>
      <c r="H22" s="36" t="n">
        <v>80</v>
      </c>
      <c r="M22" s="38" t="n">
        <f aca="false">MIN(IF($A$39,$H22,1000),E22)</f>
        <v>400</v>
      </c>
      <c r="N22" s="38" t="n">
        <f aca="false">MIN(IF($A$39,$H22,1000),F22)</f>
        <v>400</v>
      </c>
      <c r="O22" s="38" t="n">
        <f aca="false">MIN(IF($A$39,$H22,1000),G22)</f>
        <v>200</v>
      </c>
    </row>
    <row r="23" customFormat="false" ht="12.75" hidden="false" customHeight="false" outlineLevel="0" collapsed="false">
      <c r="E23" s="34"/>
      <c r="F23" s="34"/>
      <c r="G23" s="34"/>
      <c r="H23" s="36"/>
    </row>
    <row r="24" customFormat="false" ht="12.75" hidden="false" customHeight="false" outlineLevel="0" collapsed="false">
      <c r="E24" s="34" t="s">
        <v>118</v>
      </c>
      <c r="F24" s="34"/>
      <c r="G24" s="34"/>
      <c r="H24" s="36"/>
    </row>
    <row r="25" customFormat="false" ht="12.75" hidden="false" customHeight="false" outlineLevel="0" collapsed="false">
      <c r="E25" s="34" t="n">
        <v>36</v>
      </c>
      <c r="F25" s="34" t="n">
        <v>36</v>
      </c>
      <c r="G25" s="34" t="n">
        <v>36</v>
      </c>
      <c r="H25" s="36" t="n">
        <v>36</v>
      </c>
      <c r="M25" s="38" t="n">
        <f aca="false">MIN(IF($A$39,$H25,1000),E25)</f>
        <v>36</v>
      </c>
      <c r="N25" s="38" t="n">
        <f aca="false">MIN(IF($A$39,$H25,1000),F25)</f>
        <v>36</v>
      </c>
      <c r="O25" s="38" t="n">
        <f aca="false">MIN(IF($A$39,$H25,1000),G25)</f>
        <v>36</v>
      </c>
    </row>
    <row r="26" customFormat="false" ht="12.75" hidden="false" customHeight="false" outlineLevel="0" collapsed="false">
      <c r="E26" s="34" t="n">
        <v>30</v>
      </c>
      <c r="F26" s="34" t="n">
        <v>14</v>
      </c>
      <c r="G26" s="34" t="n">
        <v>14</v>
      </c>
      <c r="H26" s="36" t="n">
        <v>14</v>
      </c>
      <c r="M26" s="38" t="n">
        <f aca="false">MIN(IF($A$39,$H26,1000),E26)</f>
        <v>30</v>
      </c>
      <c r="N26" s="38" t="n">
        <f aca="false">MIN(IF($A$39,$H26,1000),F26)</f>
        <v>14</v>
      </c>
      <c r="O26" s="38" t="n">
        <f aca="false">MIN(IF($A$39,$H26,1000),G26)</f>
        <v>14</v>
      </c>
    </row>
    <row r="27" customFormat="false" ht="12.75" hidden="false" customHeight="false" outlineLevel="0" collapsed="false">
      <c r="E27" s="34" t="n">
        <v>40</v>
      </c>
      <c r="F27" s="34" t="n">
        <v>40</v>
      </c>
      <c r="G27" s="34" t="n">
        <v>30</v>
      </c>
      <c r="H27" s="36" t="n">
        <v>11</v>
      </c>
      <c r="M27" s="38" t="n">
        <f aca="false">MIN(IF($A$39,$H27,1000),E27)</f>
        <v>40</v>
      </c>
      <c r="N27" s="38" t="n">
        <f aca="false">MIN(IF($A$39,$H27,1000),F27)</f>
        <v>40</v>
      </c>
      <c r="O27" s="38" t="n">
        <f aca="false">MIN(IF($A$39,$H27,1000),G27)</f>
        <v>30</v>
      </c>
    </row>
    <row r="28" customFormat="false" ht="12.75" hidden="false" customHeight="false" outlineLevel="0" collapsed="false">
      <c r="E28" s="34" t="n">
        <v>50</v>
      </c>
      <c r="F28" s="34" t="n">
        <v>50</v>
      </c>
      <c r="G28" s="34" t="n">
        <v>50</v>
      </c>
      <c r="H28" s="36" t="n">
        <v>50</v>
      </c>
      <c r="M28" s="38" t="n">
        <f aca="false">MIN(IF($A$39,$H28,1000),E28)</f>
        <v>50</v>
      </c>
      <c r="N28" s="38" t="n">
        <f aca="false">MIN(IF($A$39,$H28,1000),F28)</f>
        <v>50</v>
      </c>
      <c r="O28" s="38" t="n">
        <f aca="false">MIN(IF($A$39,$H28,1000),G28)</f>
        <v>50</v>
      </c>
    </row>
    <row r="29" customFormat="false" ht="12.75" hidden="false" customHeight="false" outlineLevel="0" collapsed="false">
      <c r="E29" s="34" t="n">
        <v>80</v>
      </c>
      <c r="F29" s="34" t="n">
        <v>80</v>
      </c>
      <c r="G29" s="34" t="n">
        <v>80</v>
      </c>
      <c r="H29" s="36" t="n">
        <v>36</v>
      </c>
      <c r="M29" s="38" t="n">
        <f aca="false">MIN(IF($A$39,$H29,1000),E29)</f>
        <v>80</v>
      </c>
      <c r="N29" s="38" t="n">
        <f aca="false">MIN(IF($A$39,$H29,1000),F29)</f>
        <v>80</v>
      </c>
      <c r="O29" s="38" t="n">
        <f aca="false">MIN(IF($A$39,$H29,1000),G29)</f>
        <v>80</v>
      </c>
    </row>
    <row r="30" customFormat="false" ht="12.75" hidden="false" customHeight="false" outlineLevel="0" collapsed="false">
      <c r="E30" s="34" t="n">
        <v>30</v>
      </c>
      <c r="F30" s="34" t="n">
        <v>20</v>
      </c>
      <c r="G30" s="34" t="n">
        <v>20</v>
      </c>
      <c r="H30" s="36" t="n">
        <v>14</v>
      </c>
      <c r="M30" s="38" t="n">
        <f aca="false">MIN(IF($A$39,$H30,1000),E30)</f>
        <v>30</v>
      </c>
      <c r="N30" s="38" t="n">
        <f aca="false">MIN(IF($A$39,$H30,1000),F30)</f>
        <v>20</v>
      </c>
      <c r="O30" s="38" t="n">
        <f aca="false">MIN(IF($A$39,$H30,1000),G30)</f>
        <v>20</v>
      </c>
    </row>
    <row r="31" customFormat="false" ht="12.75" hidden="false" customHeight="false" outlineLevel="0" collapsed="false">
      <c r="E31" s="34" t="n">
        <v>150</v>
      </c>
      <c r="F31" s="34" t="n">
        <v>150</v>
      </c>
      <c r="G31" s="34" t="n">
        <v>40</v>
      </c>
      <c r="H31" s="36" t="n">
        <v>11</v>
      </c>
      <c r="M31" s="38" t="n">
        <f aca="false">MIN(IF($A$39,$H31,1000),E31)</f>
        <v>150</v>
      </c>
      <c r="N31" s="38" t="n">
        <f aca="false">MIN(IF($A$39,$H31,1000),F31)</f>
        <v>150</v>
      </c>
      <c r="O31" s="38" t="n">
        <f aca="false">MIN(IF($A$39,$H31,1000),G31)</f>
        <v>40</v>
      </c>
    </row>
    <row r="32" customFormat="false" ht="12.75" hidden="false" customHeight="false" outlineLevel="0" collapsed="false">
      <c r="E32" s="34" t="n">
        <v>100</v>
      </c>
      <c r="F32" s="34" t="n">
        <v>100</v>
      </c>
      <c r="G32" s="34" t="n">
        <v>100</v>
      </c>
      <c r="H32" s="36" t="n">
        <v>50</v>
      </c>
      <c r="M32" s="38" t="n">
        <f aca="false">MIN(IF($A$39,$H32,1000),E32)</f>
        <v>100</v>
      </c>
      <c r="N32" s="38" t="n">
        <f aca="false">MIN(IF($A$39,$H32,1000),F32)</f>
        <v>100</v>
      </c>
      <c r="O32" s="38" t="n">
        <f aca="false">MIN(IF($A$39,$H32,1000),G32)</f>
        <v>100</v>
      </c>
    </row>
    <row r="35" customFormat="false" ht="12.75" hidden="false" customHeight="false" outlineLevel="0" collapsed="false">
      <c r="A35" s="0" t="s">
        <v>119</v>
      </c>
      <c r="E35" s="0" t="s">
        <v>120</v>
      </c>
      <c r="F35" s="0" t="s">
        <v>121</v>
      </c>
      <c r="G35" s="0" t="s">
        <v>122</v>
      </c>
      <c r="I35" s="0" t="s">
        <v>123</v>
      </c>
      <c r="J35" s="0" t="s">
        <v>124</v>
      </c>
      <c r="K35" s="0" t="s">
        <v>125</v>
      </c>
      <c r="M35" s="40" t="s">
        <v>16</v>
      </c>
      <c r="O35" s="40" t="s">
        <v>18</v>
      </c>
    </row>
    <row r="36" customFormat="false" ht="12.75" hidden="false" customHeight="false" outlineLevel="0" collapsed="false">
      <c r="A36" s="41" t="n">
        <f aca="false">SUMPRODUCT(calc!B16:B36,data!H13:H33)+IF(calc!B8="норма",0,MIN(calc!B35,4)*data!I32+MIN(calc!B34,1)*data!I31)</f>
        <v>49.25</v>
      </c>
      <c r="B36" s="29"/>
      <c r="C36" s="29" t="s">
        <v>126</v>
      </c>
      <c r="D36" s="0" t="s">
        <v>29</v>
      </c>
      <c r="E36" s="0" t="s">
        <v>108</v>
      </c>
      <c r="F36" s="0" t="s">
        <v>117</v>
      </c>
      <c r="G36" s="0" t="s">
        <v>118</v>
      </c>
      <c r="M36" s="40"/>
      <c r="N36" s="0" t="s">
        <v>127</v>
      </c>
      <c r="O36" s="40"/>
    </row>
    <row r="37" customFormat="false" ht="12.75" hidden="false" customHeight="false" outlineLevel="0" collapsed="false">
      <c r="C37" s="0" t="n">
        <v>20</v>
      </c>
      <c r="D37" s="0" t="n">
        <v>40</v>
      </c>
      <c r="E37" s="38" t="n">
        <f aca="false">IF($A$36&lt;0.25*D37,M5,IF($A$36&lt;0.5*D37,N5,O5))</f>
        <v>150</v>
      </c>
      <c r="F37" s="38" t="n">
        <f aca="false">IF($A$36&lt;0.25*D37,M15,IF($A$36&lt;0.5*D37,N15,O15))</f>
        <v>100</v>
      </c>
      <c r="G37" s="38" t="n">
        <f aca="false">IF($A$36&lt;0.25*D37,M25,IF($A$36&lt;0.5*D37,N25,O25))</f>
        <v>36</v>
      </c>
      <c r="I37" s="42" t="n">
        <f aca="false">500*E37/$A$48</f>
        <v>781.25</v>
      </c>
      <c r="J37" s="42" t="n">
        <f aca="false">1000*F37/$A$46</f>
        <v>1515.15151515152</v>
      </c>
      <c r="K37" s="42" t="n">
        <f aca="false">SQRT(1000000*G37*500/$A$46/$A$48)</f>
        <v>1685.49965615811</v>
      </c>
      <c r="M37" s="43" t="n">
        <f aca="false">MIN(I37:K37)</f>
        <v>781.25</v>
      </c>
      <c r="N37" s="42" t="n">
        <f aca="false">M37*$A$48/500</f>
        <v>150</v>
      </c>
      <c r="O37" s="43" t="n">
        <f aca="false">MIN(J37,1000000*G37/N37/$A$46)</f>
        <v>1515.15151515152</v>
      </c>
    </row>
    <row r="38" customFormat="false" ht="12.75" hidden="false" customHeight="false" outlineLevel="0" collapsed="false">
      <c r="A38" s="0" t="s">
        <v>128</v>
      </c>
      <c r="C38" s="0" t="n">
        <v>40</v>
      </c>
      <c r="D38" s="0" t="n">
        <v>40</v>
      </c>
      <c r="E38" s="38" t="n">
        <f aca="false">IF($A$36&lt;0.25*D38,M6,IF($A$36&lt;0.5*D38,N6,O6))</f>
        <v>200</v>
      </c>
      <c r="F38" s="38" t="n">
        <f aca="false">IF($A$36&lt;0.25*D38,M16,IF($A$36&lt;0.5*D38,N16,O16))</f>
        <v>40</v>
      </c>
      <c r="G38" s="38" t="n">
        <f aca="false">IF($A$36&lt;0.25*D38,M26,IF($A$36&lt;0.5*D38,N26,O26))</f>
        <v>14</v>
      </c>
      <c r="I38" s="42" t="n">
        <f aca="false">500*E38/$A$48</f>
        <v>1041.66666666667</v>
      </c>
      <c r="J38" s="42" t="n">
        <f aca="false">1000*F38/$A$46</f>
        <v>606.060606060606</v>
      </c>
      <c r="K38" s="42" t="n">
        <f aca="false">SQRT(1000000*G38*500/$A$46/$A$48)</f>
        <v>1051.09370647815</v>
      </c>
      <c r="M38" s="43" t="n">
        <f aca="false">MIN(I38:K38)</f>
        <v>606.060606060606</v>
      </c>
      <c r="N38" s="42" t="n">
        <f aca="false">M38*$A$48/500</f>
        <v>116.363636363636</v>
      </c>
      <c r="O38" s="43" t="n">
        <f aca="false">MIN(J38,1000000*G38/N38/$A$46)</f>
        <v>606.060606060606</v>
      </c>
    </row>
    <row r="39" customFormat="false" ht="12.75" hidden="false" customHeight="false" outlineLevel="0" collapsed="false">
      <c r="A39" s="44" t="n">
        <f aca="false">(calc!B17&gt;0)</f>
        <v>0</v>
      </c>
      <c r="C39" s="0" t="n">
        <v>20</v>
      </c>
      <c r="D39" s="0" t="n">
        <v>100</v>
      </c>
      <c r="E39" s="38" t="n">
        <f aca="false">IF($A$36&lt;0.25*D39,M7,IF($A$36&lt;0.5*D39,N7,O7))</f>
        <v>80</v>
      </c>
      <c r="F39" s="38" t="n">
        <f aca="false">IF($A$36&lt;0.25*D39,M17,IF($A$36&lt;0.5*D39,N17,O17))</f>
        <v>400</v>
      </c>
      <c r="G39" s="38" t="n">
        <f aca="false">IF($A$36&lt;0.25*D39,M27,IF($A$36&lt;0.5*D39,N27,O27))</f>
        <v>40</v>
      </c>
      <c r="I39" s="42" t="n">
        <f aca="false">500*E39/$A$48</f>
        <v>416.666666666667</v>
      </c>
      <c r="J39" s="42" t="n">
        <f aca="false">1000*F39/$A$46</f>
        <v>6060.60606060606</v>
      </c>
      <c r="K39" s="42" t="n">
        <f aca="false">SQRT(1000000*G39*500/$A$46/$A$48)</f>
        <v>1776.67263629675</v>
      </c>
      <c r="M39" s="43" t="n">
        <f aca="false">MIN(I39:K39)</f>
        <v>416.666666666667</v>
      </c>
      <c r="N39" s="42" t="n">
        <f aca="false">M39*$A$48/500</f>
        <v>80</v>
      </c>
      <c r="O39" s="43" t="n">
        <f aca="false">MIN(J39,1000000*G39/N39/$A$46)</f>
        <v>6060.60606060606</v>
      </c>
    </row>
    <row r="40" customFormat="false" ht="12.75" hidden="false" customHeight="false" outlineLevel="0" collapsed="false">
      <c r="C40" s="0" t="n">
        <v>40</v>
      </c>
      <c r="D40" s="0" t="n">
        <v>100</v>
      </c>
      <c r="E40" s="38" t="n">
        <f aca="false">IF($A$36&lt;0.25*D40,M8,IF($A$36&lt;0.5*D40,N8,O8))</f>
        <v>200</v>
      </c>
      <c r="F40" s="38" t="n">
        <f aca="false">IF($A$36&lt;0.25*D40,M18,IF($A$36&lt;0.5*D40,N18,O18))</f>
        <v>400</v>
      </c>
      <c r="G40" s="38" t="n">
        <f aca="false">IF($A$36&lt;0.25*D40,M28,IF($A$36&lt;0.5*D40,N28,O28))</f>
        <v>50</v>
      </c>
      <c r="I40" s="42" t="n">
        <f aca="false">500*E40/$A$48</f>
        <v>1041.66666666667</v>
      </c>
      <c r="J40" s="42" t="n">
        <f aca="false">1000*F40/$A$46</f>
        <v>6060.60606060606</v>
      </c>
      <c r="K40" s="42" t="n">
        <f aca="false">SQRT(1000000*G40*500/$A$46/$A$48)</f>
        <v>1986.38039426165</v>
      </c>
      <c r="M40" s="43" t="n">
        <f aca="false">MIN(I40:K40)</f>
        <v>1041.66666666667</v>
      </c>
      <c r="N40" s="42" t="n">
        <f aca="false">M40*$A$48/500</f>
        <v>200</v>
      </c>
      <c r="O40" s="43" t="n">
        <f aca="false">MIN(J40,1000000*G40/N40/$A$46)</f>
        <v>3787.87878787879</v>
      </c>
    </row>
    <row r="41" customFormat="false" ht="12.75" hidden="false" customHeight="false" outlineLevel="0" collapsed="false">
      <c r="A41" s="0" t="s">
        <v>129</v>
      </c>
      <c r="B41" s="0" t="s">
        <v>130</v>
      </c>
      <c r="C41" s="0" t="n">
        <v>20</v>
      </c>
      <c r="D41" s="0" t="n">
        <v>40</v>
      </c>
      <c r="E41" s="38" t="n">
        <f aca="false">IF($A$36&lt;0.25*D41,M9,IF($A$36&lt;0.5*D41,N9,O9))</f>
        <v>150</v>
      </c>
      <c r="F41" s="38" t="n">
        <f aca="false">IF($A$36&lt;0.25*D41,M19,IF($A$36&lt;0.5*D41,N19,O19))</f>
        <v>100</v>
      </c>
      <c r="G41" s="38" t="n">
        <f aca="false">IF($A$36&lt;0.25*D41,M29,IF($A$36&lt;0.5*D41,N29,O29))</f>
        <v>80</v>
      </c>
      <c r="I41" s="42" t="n">
        <f aca="false">500*E41/$A$48</f>
        <v>781.25</v>
      </c>
      <c r="J41" s="42" t="n">
        <f aca="false">1000*F41/$A$46</f>
        <v>1515.15151515152</v>
      </c>
      <c r="K41" s="42" t="n">
        <f aca="false">SQRT(1000000*G41*500/$A$46/$A$48)</f>
        <v>2512.59453814803</v>
      </c>
      <c r="M41" s="43" t="n">
        <f aca="false">MIN(I41:K41)</f>
        <v>781.25</v>
      </c>
      <c r="N41" s="42" t="n">
        <f aca="false">M41*$A$48/500</f>
        <v>150</v>
      </c>
      <c r="O41" s="43" t="n">
        <f aca="false">MIN(J41,1000000*G41/N41/$A$46)</f>
        <v>1515.15151515152</v>
      </c>
    </row>
    <row r="42" customFormat="false" ht="12.75" hidden="false" customHeight="false" outlineLevel="0" collapsed="false">
      <c r="A42" s="44" t="n">
        <f aca="false">((calc!B16+calc!B17+calc!B18+calc!B29+calc!B31)&gt;0)</f>
        <v>1</v>
      </c>
      <c r="B42" s="0" t="s">
        <v>130</v>
      </c>
      <c r="C42" s="0" t="n">
        <v>40</v>
      </c>
      <c r="D42" s="0" t="n">
        <v>40</v>
      </c>
      <c r="E42" s="38" t="n">
        <f aca="false">IF($A$36&lt;0.25*D42,M10,IF($A$36&lt;0.5*D42,N10,O10))</f>
        <v>200</v>
      </c>
      <c r="F42" s="38" t="n">
        <f aca="false">IF($A$36&lt;0.25*D42,M20,IF($A$36&lt;0.5*D42,N20,O20))</f>
        <v>60</v>
      </c>
      <c r="G42" s="38" t="n">
        <f aca="false">IF($A$36&lt;0.25*D42,M30,IF($A$36&lt;0.5*D42,N30,O30))</f>
        <v>20</v>
      </c>
      <c r="I42" s="42" t="n">
        <f aca="false">500*E42/$A$48</f>
        <v>1041.66666666667</v>
      </c>
      <c r="J42" s="42" t="n">
        <f aca="false">1000*F42/$A$46</f>
        <v>909.090909090909</v>
      </c>
      <c r="K42" s="42" t="n">
        <f aca="false">SQRT(1000000*G42*500/$A$46/$A$48)</f>
        <v>1256.29726907402</v>
      </c>
      <c r="M42" s="43" t="n">
        <f aca="false">MIN(I42:K42)</f>
        <v>909.090909090909</v>
      </c>
      <c r="N42" s="42" t="n">
        <f aca="false">M42*$A$48/500</f>
        <v>174.545454545455</v>
      </c>
      <c r="O42" s="43" t="n">
        <f aca="false">MIN(J42,1000000*G42/N42/$A$46)</f>
        <v>909.090909090909</v>
      </c>
    </row>
    <row r="43" customFormat="false" ht="12.75" hidden="false" customHeight="false" outlineLevel="0" collapsed="false">
      <c r="B43" s="0" t="s">
        <v>130</v>
      </c>
      <c r="C43" s="0" t="n">
        <v>20</v>
      </c>
      <c r="D43" s="0" t="n">
        <v>100</v>
      </c>
      <c r="E43" s="38" t="n">
        <f aca="false">IF($A$36&lt;0.25*D43,M11,IF($A$36&lt;0.5*D43,N11,O11))</f>
        <v>80</v>
      </c>
      <c r="F43" s="38" t="n">
        <f aca="false">IF($A$36&lt;0.25*D43,M21,IF($A$36&lt;0.5*D43,N21,O21))</f>
        <v>400</v>
      </c>
      <c r="G43" s="38" t="n">
        <f aca="false">IF($A$36&lt;0.25*D43,M31,IF($A$36&lt;0.5*D43,N31,O31))</f>
        <v>150</v>
      </c>
      <c r="I43" s="42" t="n">
        <f aca="false">500*E43/$A$48</f>
        <v>416.666666666667</v>
      </c>
      <c r="J43" s="42" t="n">
        <f aca="false">1000*F43/$A$46</f>
        <v>6060.60606060606</v>
      </c>
      <c r="K43" s="42" t="n">
        <f aca="false">SQRT(1000000*G43*500/$A$46/$A$48)</f>
        <v>3440.51176601988</v>
      </c>
      <c r="M43" s="43" t="n">
        <f aca="false">MIN(I43:K43)</f>
        <v>416.666666666667</v>
      </c>
      <c r="N43" s="42" t="n">
        <f aca="false">M43*$A$48/500</f>
        <v>80</v>
      </c>
      <c r="O43" s="43" t="n">
        <f aca="false">MIN(J43,1000000*G43/N43/$A$46)</f>
        <v>6060.60606060606</v>
      </c>
    </row>
    <row r="44" customFormat="false" ht="12.75" hidden="false" customHeight="false" outlineLevel="0" collapsed="false">
      <c r="B44" s="0" t="s">
        <v>130</v>
      </c>
      <c r="C44" s="0" t="n">
        <v>40</v>
      </c>
      <c r="D44" s="0" t="n">
        <v>100</v>
      </c>
      <c r="E44" s="38" t="n">
        <f aca="false">IF($A$36&lt;0.25*D44,M12,IF($A$36&lt;0.5*D44,N12,O12))</f>
        <v>200</v>
      </c>
      <c r="F44" s="38" t="n">
        <f aca="false">IF($A$36&lt;0.25*D44,M22,IF($A$36&lt;0.5*D44,N22,O22))</f>
        <v>400</v>
      </c>
      <c r="G44" s="38" t="n">
        <f aca="false">IF($A$36&lt;0.25*D44,M32,IF($A$36&lt;0.5*D44,N32,O32))</f>
        <v>100</v>
      </c>
      <c r="I44" s="42" t="n">
        <f aca="false">500*E44/$A$48</f>
        <v>1041.66666666667</v>
      </c>
      <c r="J44" s="42" t="n">
        <f aca="false">1000*F44/$A$46</f>
        <v>6060.60606060606</v>
      </c>
      <c r="K44" s="42" t="n">
        <f aca="false">SQRT(1000000*G44*500/$A$46/$A$48)</f>
        <v>2809.16609359684</v>
      </c>
      <c r="M44" s="43" t="n">
        <f aca="false">MIN(I44:K44)</f>
        <v>1041.66666666667</v>
      </c>
      <c r="N44" s="42" t="n">
        <f aca="false">M44*$A$48/500</f>
        <v>200</v>
      </c>
      <c r="O44" s="43" t="n">
        <f aca="false">MIN(J44,1000000*G44/N44/$A$46)</f>
        <v>6060.60606060606</v>
      </c>
    </row>
    <row r="45" customFormat="false" ht="12.75" hidden="false" customHeight="false" outlineLevel="0" collapsed="false">
      <c r="A45" s="0" t="s">
        <v>131</v>
      </c>
    </row>
    <row r="46" customFormat="false" ht="12.75" hidden="false" customHeight="false" outlineLevel="0" collapsed="false">
      <c r="A46" s="41" t="n">
        <f aca="false">VLOOKUP(calc!B12,data!A12:C48,3)</f>
        <v>66</v>
      </c>
      <c r="K46" s="29" t="s">
        <v>126</v>
      </c>
      <c r="L46" s="0" t="s">
        <v>29</v>
      </c>
    </row>
    <row r="47" customFormat="false" ht="12.75" hidden="false" customHeight="false" outlineLevel="0" collapsed="false">
      <c r="A47" s="29" t="s">
        <v>132</v>
      </c>
      <c r="K47" s="0" t="n">
        <v>20</v>
      </c>
      <c r="L47" s="0" t="n">
        <v>40</v>
      </c>
      <c r="M47" s="45" t="n">
        <f aca="false">IF($A$51,M41,M37)</f>
        <v>781.25</v>
      </c>
      <c r="N47" s="45" t="n">
        <f aca="false">IF($A$51,N41,N37)</f>
        <v>150</v>
      </c>
      <c r="O47" s="45" t="n">
        <f aca="false">IF($A$51,O41,O37)</f>
        <v>1515.15151515152</v>
      </c>
    </row>
    <row r="48" customFormat="false" ht="12.75" hidden="false" customHeight="false" outlineLevel="0" collapsed="false">
      <c r="A48" s="41" t="n">
        <f aca="false">VLOOKUP(calc!B12,data!A12:C48,2)/2</f>
        <v>96</v>
      </c>
      <c r="K48" s="0" t="n">
        <v>40</v>
      </c>
      <c r="L48" s="0" t="n">
        <v>40</v>
      </c>
      <c r="M48" s="45" t="n">
        <f aca="false">IF($A$51,M42,M38)</f>
        <v>606.060606060606</v>
      </c>
      <c r="N48" s="45" t="n">
        <f aca="false">IF($A$51,N42,N38)</f>
        <v>116.363636363636</v>
      </c>
      <c r="O48" s="45" t="n">
        <f aca="false">IF($A$51,O42,O38)</f>
        <v>606.060606060606</v>
      </c>
    </row>
    <row r="49" customFormat="false" ht="12.75" hidden="false" customHeight="false" outlineLevel="0" collapsed="false">
      <c r="K49" s="0" t="n">
        <v>20</v>
      </c>
      <c r="L49" s="0" t="n">
        <v>100</v>
      </c>
      <c r="M49" s="45" t="n">
        <f aca="false">IF($A$51,M43,M39)</f>
        <v>416.666666666667</v>
      </c>
      <c r="N49" s="45" t="n">
        <f aca="false">IF($A$51,N43,N39)</f>
        <v>80</v>
      </c>
      <c r="O49" s="45" t="n">
        <f aca="false">IF($A$51,O43,O39)</f>
        <v>6060.60606060606</v>
      </c>
    </row>
    <row r="50" customFormat="false" ht="12.75" hidden="false" customHeight="false" outlineLevel="0" collapsed="false">
      <c r="A50" s="0" t="s">
        <v>133</v>
      </c>
      <c r="K50" s="0" t="n">
        <v>40</v>
      </c>
      <c r="L50" s="0" t="n">
        <v>100</v>
      </c>
      <c r="M50" s="45" t="n">
        <f aca="false">IF($A$51,M44,M40)</f>
        <v>1041.66666666667</v>
      </c>
      <c r="N50" s="45" t="n">
        <f aca="false">IF($A$51,N44,N40)</f>
        <v>200</v>
      </c>
      <c r="O50" s="45" t="n">
        <f aca="false">IF($A$51,O44,O40)</f>
        <v>3787.87878787879</v>
      </c>
    </row>
    <row r="51" customFormat="false" ht="12.75" hidden="false" customHeight="false" outlineLevel="0" collapsed="false">
      <c r="A51" s="0" t="n">
        <f aca="false">(calc!B11="по току")</f>
        <v>0</v>
      </c>
      <c r="L51" s="29" t="s">
        <v>126</v>
      </c>
    </row>
    <row r="52" customFormat="false" ht="12.75" hidden="false" customHeight="false" outlineLevel="0" collapsed="false">
      <c r="L52" s="0" t="n">
        <v>20</v>
      </c>
      <c r="M52" s="45" t="n">
        <f aca="false">IF(calc!$B$10=40,internal!M47,internal!M49)</f>
        <v>416.666666666667</v>
      </c>
      <c r="N52" s="45" t="n">
        <f aca="false">IF(calc!$B$10=40,internal!N47,internal!N49)</f>
        <v>80</v>
      </c>
      <c r="O52" s="45" t="n">
        <f aca="false">IF(calc!$B$10=40,internal!O47,internal!O49)</f>
        <v>6060.60606060606</v>
      </c>
    </row>
    <row r="53" customFormat="false" ht="12.75" hidden="false" customHeight="false" outlineLevel="0" collapsed="false">
      <c r="A53" s="0" t="s">
        <v>134</v>
      </c>
      <c r="L53" s="0" t="n">
        <v>40</v>
      </c>
      <c r="M53" s="45" t="n">
        <f aca="false">IF(calc!$B$10=40,internal!M48,internal!M50)</f>
        <v>1041.66666666667</v>
      </c>
      <c r="N53" s="45" t="n">
        <f aca="false">IF(calc!$B$10=40,internal!N48,internal!N50)</f>
        <v>200</v>
      </c>
      <c r="O53" s="45" t="n">
        <f aca="false">IF(calc!$B$10=40,internal!O48,internal!O50)</f>
        <v>3787.87878787879</v>
      </c>
    </row>
    <row r="54" customFormat="false" ht="12.75" hidden="false" customHeight="false" outlineLevel="0" collapsed="false">
      <c r="A54" s="0" t="n">
        <f aca="false">IF(calc!B9&gt;calc!B13,1.2*calc!B9/calc!B13,1)*A36</f>
        <v>98.5</v>
      </c>
    </row>
    <row r="55" customFormat="false" ht="12.75" hidden="false" customHeight="false" outlineLevel="0" collapsed="false">
      <c r="M55" s="45" t="n">
        <f aca="false">IF(calc!$B$9=20,M52,M53)</f>
        <v>1041.66666666667</v>
      </c>
      <c r="N55" s="45" t="n">
        <f aca="false">IF(calc!$B$9=20,N52,N53)</f>
        <v>200</v>
      </c>
      <c r="O55" s="45" t="n">
        <f aca="false">IF(calc!$B$9=20,O52,O53)</f>
        <v>3787.87878787879</v>
      </c>
    </row>
  </sheetData>
  <sheetProtection sheet="true" password="cb95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2020-07-23T03:26:03Z</dcterms:created>
  <dc:creator>alex</dc:creator>
  <dc:description/>
  <dc:language>ru-RU</dc:language>
  <cp:lastModifiedBy/>
  <dcterms:modified xsi:type="dcterms:W3CDTF">2020-10-31T10:32:22Z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